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000" windowHeight="8610" tabRatio="648" activeTab="4"/>
  </bookViews>
  <sheets>
    <sheet name="ENSAIOS DE ORÇAMENTO" sheetId="2" r:id="rId1"/>
    <sheet name="BDI" sheetId="6" r:id="rId2"/>
    <sheet name="grandes ítens" sheetId="8" r:id="rId3"/>
    <sheet name="Cronograma" sheetId="12" r:id="rId4"/>
    <sheet name=" orc DER SETEMBRO 2017" sheetId="11" r:id="rId5"/>
  </sheets>
  <definedNames>
    <definedName name="_xlnm._FilterDatabase" localSheetId="4" hidden="1">' orc DER SETEMBRO 2017'!$A$17:$Y$1868</definedName>
    <definedName name="_xlnm._FilterDatabase" localSheetId="3" hidden="1">Cronograma!$A$6:$WVX$24</definedName>
    <definedName name="_xlnm._FilterDatabase" localSheetId="2" hidden="1">'grandes ítens'!$A$4:$F$18</definedName>
    <definedName name="_xlnm.Print_Area" localSheetId="4">' orc DER SETEMBRO 2017'!$A$1:$U$1867</definedName>
    <definedName name="_xlnm.Print_Area" localSheetId="1">BDI!$A$1:$C$19</definedName>
    <definedName name="_xlnm.Print_Area" localSheetId="3">Cronograma!$A$1:$Q$76</definedName>
    <definedName name="_xlnm.Print_Area" localSheetId="0">'ENSAIOS DE ORÇAMENTO'!#REF!</definedName>
    <definedName name="_xlnm.Print_Area" localSheetId="2">'grandes ítens'!$A$1:$G$18</definedName>
    <definedName name="j" localSheetId="4">' orc DER SETEMBRO 2017'!$A$1</definedName>
    <definedName name="j">#REF!</definedName>
    <definedName name="_xlnm.Print_Titles" localSheetId="4">' orc DER SETEMBRO 2017'!$16:$17</definedName>
    <definedName name="_xlnm.Print_Titles" localSheetId="0">'ENSAIOS DE ORÇAMENTO'!#REF!</definedName>
    <definedName name="_xlnm.Print_Titles" localSheetId="2">'grandes ítens'!$4:$4</definedName>
  </definedNames>
  <calcPr calcId="145621"/>
</workbook>
</file>

<file path=xl/calcChain.xml><?xml version="1.0" encoding="utf-8"?>
<calcChain xmlns="http://schemas.openxmlformats.org/spreadsheetml/2006/main">
  <c r="Z1884" i="11" l="1"/>
  <c r="L448" i="11" l="1"/>
  <c r="Q1160" i="11" l="1"/>
  <c r="Q1005" i="11"/>
  <c r="Q1004" i="11"/>
  <c r="Q984" i="11"/>
  <c r="L322" i="11"/>
  <c r="L221" i="11"/>
  <c r="L328" i="11"/>
  <c r="L217" i="11"/>
  <c r="R932" i="11" l="1"/>
  <c r="S24" i="12" l="1"/>
  <c r="S23" i="12"/>
  <c r="S22" i="12"/>
  <c r="S21" i="12"/>
  <c r="S20" i="12"/>
  <c r="S19" i="12"/>
  <c r="S18" i="12"/>
  <c r="S17" i="12"/>
  <c r="S16" i="12"/>
  <c r="S15" i="12"/>
  <c r="S14" i="12"/>
  <c r="S13" i="12"/>
  <c r="S12" i="12"/>
  <c r="S11" i="12"/>
  <c r="S10" i="12"/>
  <c r="S9" i="12"/>
  <c r="S8" i="12"/>
  <c r="Q259" i="11" l="1"/>
  <c r="Q272" i="11"/>
  <c r="Q275" i="11"/>
  <c r="Q278" i="11"/>
  <c r="Q281" i="11"/>
  <c r="Q284" i="11"/>
  <c r="Q287" i="11"/>
  <c r="Q290" i="11"/>
  <c r="Q293" i="11"/>
  <c r="Q299" i="11"/>
  <c r="Q303" i="11"/>
  <c r="Q307" i="11"/>
  <c r="Q340" i="11"/>
  <c r="Q352" i="11"/>
  <c r="Q353" i="11"/>
  <c r="Q355" i="11"/>
  <c r="Q356" i="11"/>
  <c r="Q357" i="11"/>
  <c r="Q360" i="11"/>
  <c r="Q361" i="11"/>
  <c r="Q363" i="11"/>
  <c r="Q364" i="11"/>
  <c r="Q365" i="11"/>
  <c r="Q368" i="11"/>
  <c r="Q369" i="11"/>
  <c r="Q371" i="11"/>
  <c r="Q372" i="11"/>
  <c r="Q373" i="11"/>
  <c r="Q376" i="11"/>
  <c r="Q377" i="11"/>
  <c r="Q381" i="11"/>
  <c r="Q383" i="11"/>
  <c r="Q384" i="11"/>
  <c r="Q388" i="11"/>
  <c r="Q389" i="11"/>
  <c r="N395" i="11"/>
  <c r="N400" i="11"/>
  <c r="Q404" i="11"/>
  <c r="N405" i="11"/>
  <c r="Q408" i="11"/>
  <c r="Q412" i="11"/>
  <c r="Q413" i="11"/>
  <c r="Q416" i="11"/>
  <c r="Q417" i="11"/>
  <c r="Q420" i="11"/>
  <c r="Q423" i="11"/>
  <c r="Q424" i="11"/>
  <c r="Q425" i="11"/>
  <c r="Q428" i="11"/>
  <c r="Q429" i="11"/>
  <c r="Q432" i="11"/>
  <c r="Q433" i="11"/>
  <c r="N436" i="11"/>
  <c r="Q437" i="11"/>
  <c r="Q440" i="11"/>
  <c r="Q441" i="11"/>
  <c r="Q447" i="11"/>
  <c r="Q449" i="11"/>
  <c r="Q451" i="11"/>
  <c r="Q454" i="11"/>
  <c r="Q462" i="11"/>
  <c r="Q466" i="11"/>
  <c r="Q471" i="11"/>
  <c r="Q474" i="11"/>
  <c r="Q475" i="11"/>
  <c r="Q479" i="11"/>
  <c r="Q481" i="11"/>
  <c r="Q483" i="11"/>
  <c r="Q485" i="11"/>
  <c r="Q486" i="11"/>
  <c r="Q493" i="11"/>
  <c r="Q497" i="11"/>
  <c r="Q507" i="11"/>
  <c r="Q512" i="11"/>
  <c r="Q521" i="11"/>
  <c r="Q522" i="11"/>
  <c r="Q523" i="11"/>
  <c r="Q524" i="11"/>
  <c r="Q526" i="11"/>
  <c r="Q527" i="11"/>
  <c r="Q529" i="11"/>
  <c r="Q530" i="11"/>
  <c r="Q531" i="11"/>
  <c r="Q532" i="11"/>
  <c r="Q533" i="11"/>
  <c r="Q535" i="11"/>
  <c r="Q536" i="11"/>
  <c r="Q538" i="11"/>
  <c r="Q539" i="11"/>
  <c r="Q541" i="11"/>
  <c r="Q542" i="11"/>
  <c r="Q543" i="11"/>
  <c r="Q544" i="11"/>
  <c r="Q545" i="11"/>
  <c r="Q547" i="11"/>
  <c r="Q548" i="11"/>
  <c r="Q549" i="11"/>
  <c r="Q550" i="11"/>
  <c r="Q551" i="11"/>
  <c r="Q554" i="11"/>
  <c r="Q555" i="11"/>
  <c r="Q556" i="11"/>
  <c r="Q559" i="11"/>
  <c r="Q560" i="11"/>
  <c r="Q561" i="11"/>
  <c r="Q562" i="11"/>
  <c r="Q563" i="11"/>
  <c r="Q565" i="11"/>
  <c r="Q567" i="11"/>
  <c r="Q568" i="11"/>
  <c r="Q569" i="11"/>
  <c r="Q570" i="11"/>
  <c r="Q571" i="11"/>
  <c r="Q573" i="11"/>
  <c r="Q574" i="11"/>
  <c r="Q575" i="11"/>
  <c r="Q576" i="11"/>
  <c r="Q577" i="11"/>
  <c r="Q578" i="11"/>
  <c r="Q579" i="11"/>
  <c r="Q581" i="11"/>
  <c r="Q583" i="11"/>
  <c r="Q584" i="11"/>
  <c r="Q585" i="11"/>
  <c r="Q586" i="11"/>
  <c r="Q587" i="11"/>
  <c r="Q589" i="11"/>
  <c r="Q591" i="11"/>
  <c r="Q595" i="11"/>
  <c r="Q599" i="11"/>
  <c r="Q600" i="11"/>
  <c r="Q601" i="11"/>
  <c r="Q603" i="11"/>
  <c r="Q604" i="11"/>
  <c r="O605" i="11"/>
  <c r="Q607" i="11"/>
  <c r="Q608" i="11"/>
  <c r="Q610" i="11"/>
  <c r="Q611" i="11"/>
  <c r="Q612" i="11"/>
  <c r="Q613" i="11"/>
  <c r="Q614" i="11"/>
  <c r="Q615" i="11"/>
  <c r="Q617" i="11"/>
  <c r="Q618" i="11"/>
  <c r="Q619" i="11"/>
  <c r="Q620" i="11"/>
  <c r="Q621" i="11"/>
  <c r="Q622" i="11"/>
  <c r="Q623" i="11"/>
  <c r="Q625" i="11"/>
  <c r="Q627" i="11"/>
  <c r="Q628" i="11"/>
  <c r="Q629" i="11"/>
  <c r="Q630" i="11"/>
  <c r="Q631" i="11"/>
  <c r="Q633" i="11"/>
  <c r="Q636" i="11"/>
  <c r="Q637" i="11"/>
  <c r="Q638" i="11"/>
  <c r="Q639" i="11"/>
  <c r="Q641" i="11"/>
  <c r="Q643" i="11"/>
  <c r="Q644" i="11"/>
  <c r="Q646" i="11"/>
  <c r="Q647" i="11"/>
  <c r="Q651" i="11"/>
  <c r="Q652" i="11"/>
  <c r="Q653" i="11"/>
  <c r="Q654" i="11"/>
  <c r="Q655" i="11"/>
  <c r="Q656" i="11"/>
  <c r="Q657" i="11"/>
  <c r="Q659" i="11"/>
  <c r="Q660" i="11"/>
  <c r="Q663" i="11"/>
  <c r="Q664" i="11"/>
  <c r="Q666" i="11"/>
  <c r="Q667" i="11"/>
  <c r="Q668" i="11"/>
  <c r="Q669" i="11"/>
  <c r="Q672" i="11"/>
  <c r="Q674" i="11"/>
  <c r="Q675" i="11"/>
  <c r="Q679" i="11"/>
  <c r="Q680" i="11"/>
  <c r="Q682" i="11"/>
  <c r="Q683" i="11"/>
  <c r="Q686" i="11"/>
  <c r="Q687" i="11"/>
  <c r="Q688" i="11"/>
  <c r="Q690" i="11"/>
  <c r="Q691" i="11"/>
  <c r="Q693" i="11"/>
  <c r="Q695" i="11"/>
  <c r="Q696" i="11"/>
  <c r="Q698" i="11"/>
  <c r="Q699" i="11"/>
  <c r="Q701" i="11"/>
  <c r="Q703" i="11"/>
  <c r="Q704" i="11"/>
  <c r="Q707" i="11"/>
  <c r="Q709" i="11"/>
  <c r="Q710" i="11"/>
  <c r="Q711" i="11"/>
  <c r="Q712" i="11"/>
  <c r="Q715" i="11"/>
  <c r="Q717" i="11"/>
  <c r="Q718" i="11"/>
  <c r="Q719" i="11"/>
  <c r="Q720" i="11"/>
  <c r="Q722" i="11"/>
  <c r="Q723" i="11"/>
  <c r="Q724" i="11"/>
  <c r="Q725" i="11"/>
  <c r="Q727" i="11"/>
  <c r="Q728" i="11"/>
  <c r="Q731" i="11"/>
  <c r="Q732" i="11"/>
  <c r="Q733" i="11"/>
  <c r="Q734" i="11"/>
  <c r="Q735" i="11"/>
  <c r="Q736" i="11"/>
  <c r="Q738" i="11"/>
  <c r="Q739" i="11"/>
  <c r="Q740" i="11"/>
  <c r="Q741" i="11"/>
  <c r="Q743" i="11"/>
  <c r="Q744" i="11"/>
  <c r="Q747" i="11"/>
  <c r="Q748" i="11"/>
  <c r="Q749" i="11"/>
  <c r="Q750" i="11"/>
  <c r="Q751" i="11"/>
  <c r="Q752" i="11"/>
  <c r="Q754" i="11"/>
  <c r="Q755" i="11"/>
  <c r="Q756" i="11"/>
  <c r="Q757" i="11"/>
  <c r="Q759" i="11"/>
  <c r="Q760" i="11"/>
  <c r="Q763" i="11"/>
  <c r="Q764" i="11"/>
  <c r="Q765" i="11"/>
  <c r="Q766" i="11"/>
  <c r="Q767" i="11"/>
  <c r="Q768" i="11"/>
  <c r="Q770" i="11"/>
  <c r="Q771" i="11"/>
  <c r="Q772" i="11"/>
  <c r="Q773" i="11"/>
  <c r="Q775" i="11"/>
  <c r="Q776" i="11"/>
  <c r="Q778" i="11"/>
  <c r="Q779" i="11"/>
  <c r="Q781" i="11"/>
  <c r="Q782" i="11"/>
  <c r="Q783" i="11"/>
  <c r="Q784" i="11"/>
  <c r="Q785" i="11"/>
  <c r="Q787" i="11"/>
  <c r="Q790" i="11"/>
  <c r="Q791" i="11"/>
  <c r="Q793" i="11"/>
  <c r="Q794" i="11"/>
  <c r="Q795" i="11"/>
  <c r="Q797" i="11"/>
  <c r="Q799" i="11"/>
  <c r="Q801" i="11"/>
  <c r="Q802" i="11"/>
  <c r="Q803" i="11"/>
  <c r="Q807" i="11"/>
  <c r="Q810" i="11"/>
  <c r="Q811" i="11"/>
  <c r="Q813" i="11"/>
  <c r="Q814" i="11"/>
  <c r="Q815" i="11"/>
  <c r="Q816" i="11"/>
  <c r="Q817" i="11"/>
  <c r="Q819" i="11"/>
  <c r="Q822" i="11"/>
  <c r="Q823" i="11"/>
  <c r="Q825" i="11"/>
  <c r="Q826" i="11"/>
  <c r="Q827" i="11"/>
  <c r="Q829" i="11"/>
  <c r="Q831" i="11"/>
  <c r="Q833" i="11"/>
  <c r="Q834" i="11"/>
  <c r="Q835" i="11"/>
  <c r="Q839" i="11"/>
  <c r="Q842" i="11"/>
  <c r="Q843" i="11"/>
  <c r="Q845" i="11"/>
  <c r="Q846" i="11"/>
  <c r="Q847" i="11"/>
  <c r="Q848" i="11"/>
  <c r="Q849" i="11"/>
  <c r="Q851" i="11"/>
  <c r="Q854" i="11"/>
  <c r="Q855" i="11"/>
  <c r="Q859" i="11"/>
  <c r="Q862" i="11"/>
  <c r="Q863" i="11"/>
  <c r="Q864" i="11"/>
  <c r="Q866" i="11"/>
  <c r="Q867" i="11"/>
  <c r="Q871" i="11"/>
  <c r="Q872" i="11"/>
  <c r="Q874" i="11"/>
  <c r="Q875" i="11"/>
  <c r="Q879" i="11"/>
  <c r="Q880" i="11"/>
  <c r="Q883" i="11"/>
  <c r="Q884" i="11"/>
  <c r="Q886" i="11"/>
  <c r="Q887" i="11"/>
  <c r="Q888" i="11"/>
  <c r="Q891" i="11"/>
  <c r="Q892" i="11"/>
  <c r="Q893" i="11"/>
  <c r="Q895" i="11"/>
  <c r="Q896" i="11"/>
  <c r="Q898" i="11"/>
  <c r="Q899" i="11"/>
  <c r="Q900" i="11"/>
  <c r="Q904" i="11"/>
  <c r="Q908" i="11"/>
  <c r="Q912" i="11"/>
  <c r="Q921" i="11"/>
  <c r="Q922" i="11"/>
  <c r="Q924" i="11"/>
  <c r="Q925" i="11"/>
  <c r="Q926" i="11"/>
  <c r="Q927" i="11"/>
  <c r="Q928" i="11"/>
  <c r="Q929" i="11"/>
  <c r="Q930" i="11"/>
  <c r="Q933" i="11"/>
  <c r="Q939" i="11"/>
  <c r="Q940" i="11"/>
  <c r="Q942" i="11"/>
  <c r="Q943" i="11"/>
  <c r="Q944" i="11"/>
  <c r="Q947" i="11"/>
  <c r="Q948" i="11"/>
  <c r="Q951" i="11"/>
  <c r="Q952" i="11"/>
  <c r="Q955" i="11"/>
  <c r="Q956" i="11"/>
  <c r="Q957" i="11"/>
  <c r="Q958" i="11"/>
  <c r="Q959" i="11"/>
  <c r="Q960" i="11"/>
  <c r="Q962" i="11"/>
  <c r="Q963" i="11"/>
  <c r="Q964" i="11"/>
  <c r="Q967" i="11"/>
  <c r="Q968" i="11"/>
  <c r="Q971" i="11"/>
  <c r="Q974" i="11"/>
  <c r="Q975" i="11"/>
  <c r="Q976" i="11"/>
  <c r="Q978" i="11"/>
  <c r="Q979" i="11"/>
  <c r="Q980" i="11"/>
  <c r="Q983" i="11"/>
  <c r="Q985" i="11"/>
  <c r="Q988" i="11"/>
  <c r="Q989" i="11"/>
  <c r="Q991" i="11"/>
  <c r="Q992" i="11"/>
  <c r="Q993" i="11"/>
  <c r="Q996" i="11"/>
  <c r="Q997" i="11"/>
  <c r="Q999" i="11"/>
  <c r="Q1003" i="11"/>
  <c r="O1004" i="11"/>
  <c r="O1005" i="11"/>
  <c r="Q1006" i="11"/>
  <c r="Q1007" i="11"/>
  <c r="Q1008" i="11"/>
  <c r="Q1011" i="11"/>
  <c r="Q1012" i="11"/>
  <c r="Q1016" i="11"/>
  <c r="Q1018" i="11"/>
  <c r="Q1019" i="11"/>
  <c r="Q1028" i="11"/>
  <c r="Q1031" i="11"/>
  <c r="Q1035" i="11"/>
  <c r="Q1039" i="11"/>
  <c r="Q1043" i="11"/>
  <c r="Q1047" i="11"/>
  <c r="Q1051" i="11"/>
  <c r="Q1056" i="11"/>
  <c r="Q1060" i="11"/>
  <c r="Q1068" i="11"/>
  <c r="Q1072" i="11"/>
  <c r="Q1076" i="11"/>
  <c r="Q1080" i="11"/>
  <c r="Q1084" i="11"/>
  <c r="Q1088" i="11"/>
  <c r="Q1092" i="11"/>
  <c r="Q1100" i="11"/>
  <c r="Q1108" i="11"/>
  <c r="Q1116" i="11"/>
  <c r="Q1120" i="11"/>
  <c r="Q1124" i="11"/>
  <c r="Q1132" i="11"/>
  <c r="Q1140" i="11"/>
  <c r="Q1148" i="11"/>
  <c r="Q1156" i="11"/>
  <c r="Q1164" i="11"/>
  <c r="Q1168" i="11"/>
  <c r="Q1172" i="11"/>
  <c r="Q1176" i="11"/>
  <c r="Q1180" i="11"/>
  <c r="Q1184" i="11"/>
  <c r="Q1188" i="11"/>
  <c r="Q1192" i="11"/>
  <c r="Q1196" i="11"/>
  <c r="Q1200" i="11"/>
  <c r="Q1204" i="11"/>
  <c r="Q1208" i="11"/>
  <c r="Q1212" i="11"/>
  <c r="Q1216" i="11"/>
  <c r="Q1220" i="11"/>
  <c r="Q1224" i="11"/>
  <c r="Q1228" i="11"/>
  <c r="Q1232" i="11"/>
  <c r="Q1236" i="11"/>
  <c r="Q1244" i="11"/>
  <c r="Q1252" i="11"/>
  <c r="Q1260" i="11"/>
  <c r="Q1265" i="11"/>
  <c r="Q1270" i="11"/>
  <c r="Q1275" i="11"/>
  <c r="Q1280" i="11"/>
  <c r="Q1285" i="11"/>
  <c r="Q1295" i="11"/>
  <c r="Q1300" i="11"/>
  <c r="Q1305" i="11"/>
  <c r="Q1321" i="11"/>
  <c r="Q1339" i="11"/>
  <c r="Q1345" i="11"/>
  <c r="Q1351" i="11"/>
  <c r="Q1357" i="11"/>
  <c r="Q1363" i="11"/>
  <c r="Q1369" i="11"/>
  <c r="Q1375" i="11"/>
  <c r="Q1399" i="11"/>
  <c r="Q1405" i="11"/>
  <c r="Q1411" i="11"/>
  <c r="Q1417" i="11"/>
  <c r="Q1423" i="11"/>
  <c r="Q1435" i="11"/>
  <c r="Q1441" i="11"/>
  <c r="Q1447" i="11"/>
  <c r="Q1453" i="11"/>
  <c r="Q1465" i="11"/>
  <c r="Q1477" i="11"/>
  <c r="Q1483" i="11"/>
  <c r="Q1495" i="11"/>
  <c r="Q1501" i="11"/>
  <c r="Q1507" i="11"/>
  <c r="Q1513" i="11"/>
  <c r="Q1519" i="11"/>
  <c r="Q1525" i="11"/>
  <c r="Q1531" i="11"/>
  <c r="Q1543" i="11"/>
  <c r="Q1549" i="11"/>
  <c r="Q1555" i="11"/>
  <c r="Q1561" i="11"/>
  <c r="Q1567" i="11"/>
  <c r="Q1573" i="11"/>
  <c r="Q1609" i="11"/>
  <c r="Q1621" i="11"/>
  <c r="Q1633" i="11"/>
  <c r="Q1645" i="11"/>
  <c r="Q1651" i="11"/>
  <c r="Q1657" i="11"/>
  <c r="Q1675" i="11"/>
  <c r="Q1723" i="11"/>
  <c r="Q1729" i="11"/>
  <c r="Q1735" i="11"/>
  <c r="Q1747" i="11"/>
  <c r="Q1753" i="11"/>
  <c r="Q1759" i="11"/>
  <c r="Q1765" i="11"/>
  <c r="Q1771" i="11"/>
  <c r="Q1783" i="11"/>
  <c r="Q1784" i="11"/>
  <c r="Q1786" i="11"/>
  <c r="Q1790" i="11"/>
  <c r="Q1791" i="11"/>
  <c r="Q1792" i="11"/>
  <c r="Q1798" i="11"/>
  <c r="Q1799" i="11"/>
  <c r="Q1800" i="11"/>
  <c r="Q1806" i="11"/>
  <c r="Q1807" i="11"/>
  <c r="Q1808" i="11"/>
  <c r="Q1810" i="11"/>
  <c r="Q1812" i="11"/>
  <c r="Q1815" i="11"/>
  <c r="Q1819" i="11"/>
  <c r="Q1821" i="11"/>
  <c r="Q1823" i="11"/>
  <c r="Q1824" i="11"/>
  <c r="Q1827" i="11"/>
  <c r="Q1828" i="11"/>
  <c r="Q1829" i="11"/>
  <c r="Q1830" i="11"/>
  <c r="Q1831" i="11"/>
  <c r="Q1832" i="11"/>
  <c r="Q1835" i="11"/>
  <c r="Q1836" i="11"/>
  <c r="Q1838" i="11"/>
  <c r="Q1839" i="11"/>
  <c r="Q1840" i="11"/>
  <c r="Q1842" i="11"/>
  <c r="Q1843" i="11"/>
  <c r="Q1844" i="11"/>
  <c r="Q1846" i="11"/>
  <c r="Q1847" i="11"/>
  <c r="Q1848" i="11"/>
  <c r="Q1851" i="11"/>
  <c r="Q1852" i="11"/>
  <c r="Q242" i="11"/>
  <c r="Q246" i="11"/>
  <c r="Q247" i="11"/>
  <c r="Q249" i="11"/>
  <c r="Q218" i="11"/>
  <c r="Q219" i="11"/>
  <c r="Q220" i="11"/>
  <c r="Q221" i="11"/>
  <c r="Q222" i="11"/>
  <c r="Q224" i="11"/>
  <c r="Q226" i="11"/>
  <c r="Q227" i="11"/>
  <c r="Q228" i="11"/>
  <c r="Q230" i="11"/>
  <c r="Q231" i="11"/>
  <c r="Q233" i="11"/>
  <c r="Q234" i="11"/>
  <c r="Q235" i="11"/>
  <c r="Q236" i="11"/>
  <c r="Q237" i="11"/>
  <c r="Q239" i="11"/>
  <c r="U1864" i="11"/>
  <c r="P1864" i="11"/>
  <c r="I1863" i="11"/>
  <c r="I1862" i="11"/>
  <c r="I1861" i="11"/>
  <c r="I1860" i="11"/>
  <c r="I1859" i="11"/>
  <c r="I1858" i="11"/>
  <c r="I1856" i="11"/>
  <c r="R1853" i="11"/>
  <c r="Q1853" i="11"/>
  <c r="O1853" i="11"/>
  <c r="N1853" i="11"/>
  <c r="J1853" i="11"/>
  <c r="R1852" i="11"/>
  <c r="O1852" i="11"/>
  <c r="J1852" i="11"/>
  <c r="R1851" i="11"/>
  <c r="O1851" i="11"/>
  <c r="J1851" i="11"/>
  <c r="R1850" i="11"/>
  <c r="Q1850" i="11"/>
  <c r="O1850" i="11"/>
  <c r="J1850" i="11"/>
  <c r="R1849" i="11"/>
  <c r="O1849" i="11"/>
  <c r="J1849" i="11"/>
  <c r="R1848" i="11"/>
  <c r="O1848" i="11"/>
  <c r="J1848" i="11"/>
  <c r="R1847" i="11"/>
  <c r="O1847" i="11"/>
  <c r="J1847" i="11"/>
  <c r="R1846" i="11"/>
  <c r="O1846" i="11"/>
  <c r="J1846" i="11"/>
  <c r="R1845" i="11"/>
  <c r="Q1845" i="11"/>
  <c r="O1845" i="11"/>
  <c r="J1845" i="11"/>
  <c r="R1844" i="11"/>
  <c r="O1844" i="11"/>
  <c r="J1844" i="11"/>
  <c r="R1843" i="11"/>
  <c r="O1843" i="11"/>
  <c r="J1843" i="11"/>
  <c r="R1842" i="11"/>
  <c r="O1842" i="11"/>
  <c r="J1842" i="11"/>
  <c r="N1842" i="11" s="1"/>
  <c r="R1841" i="11"/>
  <c r="O1841" i="11"/>
  <c r="J1841" i="11"/>
  <c r="R1840" i="11"/>
  <c r="O1840" i="11"/>
  <c r="J1840" i="11"/>
  <c r="R1839" i="11"/>
  <c r="O1839" i="11"/>
  <c r="J1839" i="11"/>
  <c r="N1839" i="11" s="1"/>
  <c r="R1838" i="11"/>
  <c r="O1838" i="11"/>
  <c r="J1838" i="11"/>
  <c r="N1838" i="11" s="1"/>
  <c r="R1837" i="11"/>
  <c r="Q1837" i="11"/>
  <c r="O1837" i="11"/>
  <c r="J1837" i="11"/>
  <c r="R1836" i="11"/>
  <c r="O1836" i="11"/>
  <c r="J1836" i="11"/>
  <c r="R1835" i="11"/>
  <c r="O1835" i="11"/>
  <c r="J1835" i="11"/>
  <c r="R1834" i="11"/>
  <c r="Q1834" i="11"/>
  <c r="O1834" i="11"/>
  <c r="J1834" i="11"/>
  <c r="R1833" i="11"/>
  <c r="O1833" i="11"/>
  <c r="J1833" i="11"/>
  <c r="R1832" i="11"/>
  <c r="O1832" i="11"/>
  <c r="J1832" i="11"/>
  <c r="R1831" i="11"/>
  <c r="O1831" i="11"/>
  <c r="J1831" i="11"/>
  <c r="R1830" i="11"/>
  <c r="O1830" i="11"/>
  <c r="J1830" i="11"/>
  <c r="N1830" i="11" s="1"/>
  <c r="R1829" i="11"/>
  <c r="O1829" i="11"/>
  <c r="J1829" i="11"/>
  <c r="R1828" i="11"/>
  <c r="O1828" i="11"/>
  <c r="J1828" i="11"/>
  <c r="R1827" i="11"/>
  <c r="O1827" i="11"/>
  <c r="J1827" i="11"/>
  <c r="R1826" i="11"/>
  <c r="Q1826" i="11"/>
  <c r="O1826" i="11"/>
  <c r="J1826" i="11"/>
  <c r="R1825" i="11"/>
  <c r="O1825" i="11"/>
  <c r="J1825" i="11"/>
  <c r="R1824" i="11"/>
  <c r="O1824" i="11"/>
  <c r="J1824" i="11"/>
  <c r="R1823" i="11"/>
  <c r="O1823" i="11"/>
  <c r="J1823" i="11"/>
  <c r="G1821" i="11"/>
  <c r="I1819" i="11"/>
  <c r="Q1818" i="11"/>
  <c r="I1818" i="11"/>
  <c r="I1817" i="11"/>
  <c r="R1816" i="11"/>
  <c r="O1816" i="11"/>
  <c r="I1816" i="11"/>
  <c r="R1815" i="11"/>
  <c r="O1815" i="11"/>
  <c r="I1815" i="11"/>
  <c r="R1814" i="11"/>
  <c r="Q1814" i="11"/>
  <c r="O1814" i="11"/>
  <c r="I1814" i="11"/>
  <c r="R1813" i="11"/>
  <c r="Q1813" i="11"/>
  <c r="O1813" i="11"/>
  <c r="I1813" i="11"/>
  <c r="R1812" i="11"/>
  <c r="O1812" i="11"/>
  <c r="I1812" i="11"/>
  <c r="R1811" i="11"/>
  <c r="O1811" i="11"/>
  <c r="I1811" i="11"/>
  <c r="R1810" i="11"/>
  <c r="O1810" i="11"/>
  <c r="I1810" i="11"/>
  <c r="R1808" i="11"/>
  <c r="O1808" i="11"/>
  <c r="J1808" i="11"/>
  <c r="R1807" i="11"/>
  <c r="O1807" i="11"/>
  <c r="J1807" i="11"/>
  <c r="R1806" i="11"/>
  <c r="O1806" i="11"/>
  <c r="J1806" i="11"/>
  <c r="R1805" i="11"/>
  <c r="O1805" i="11"/>
  <c r="J1805" i="11"/>
  <c r="R1804" i="11"/>
  <c r="O1804" i="11"/>
  <c r="J1804" i="11"/>
  <c r="R1803" i="11"/>
  <c r="O1803" i="11"/>
  <c r="J1803" i="11"/>
  <c r="R1802" i="11"/>
  <c r="Q1802" i="11"/>
  <c r="O1802" i="11"/>
  <c r="J1802" i="11"/>
  <c r="N1802" i="11" s="1"/>
  <c r="R1801" i="11"/>
  <c r="O1801" i="11"/>
  <c r="J1801" i="11"/>
  <c r="R1800" i="11"/>
  <c r="O1800" i="11"/>
  <c r="J1800" i="11"/>
  <c r="R1799" i="11"/>
  <c r="O1799" i="11"/>
  <c r="J1799" i="11"/>
  <c r="R1798" i="11"/>
  <c r="O1798" i="11"/>
  <c r="J1798" i="11"/>
  <c r="N1798" i="11" s="1"/>
  <c r="R1797" i="11"/>
  <c r="O1797" i="11"/>
  <c r="J1797" i="11"/>
  <c r="R1796" i="11"/>
  <c r="O1796" i="11"/>
  <c r="J1796" i="11"/>
  <c r="R1795" i="11"/>
  <c r="O1795" i="11"/>
  <c r="J1795" i="11"/>
  <c r="R1794" i="11"/>
  <c r="Q1794" i="11"/>
  <c r="O1794" i="11"/>
  <c r="J1794" i="11"/>
  <c r="R1793" i="11"/>
  <c r="O1793" i="11"/>
  <c r="J1793" i="11"/>
  <c r="R1792" i="11"/>
  <c r="O1792" i="11"/>
  <c r="J1792" i="11"/>
  <c r="R1791" i="11"/>
  <c r="O1791" i="11"/>
  <c r="J1791" i="11"/>
  <c r="R1790" i="11"/>
  <c r="O1790" i="11"/>
  <c r="J1790" i="11"/>
  <c r="N1790" i="11" s="1"/>
  <c r="R1789" i="11"/>
  <c r="O1789" i="11"/>
  <c r="J1789" i="11"/>
  <c r="R1788" i="11"/>
  <c r="O1788" i="11"/>
  <c r="J1788" i="11"/>
  <c r="R1787" i="11"/>
  <c r="O1787" i="11"/>
  <c r="J1787" i="11"/>
  <c r="R1786" i="11"/>
  <c r="O1786" i="11"/>
  <c r="J1786" i="11"/>
  <c r="N1786" i="11" s="1"/>
  <c r="R1785" i="11"/>
  <c r="O1785" i="11"/>
  <c r="J1785" i="11"/>
  <c r="R1784" i="11"/>
  <c r="O1784" i="11"/>
  <c r="J1784" i="11"/>
  <c r="R1783" i="11"/>
  <c r="O1783" i="11"/>
  <c r="J1783" i="11"/>
  <c r="R1782" i="11"/>
  <c r="Q1782" i="11"/>
  <c r="O1782" i="11"/>
  <c r="J1782" i="11"/>
  <c r="N1782" i="11" s="1"/>
  <c r="R1781" i="11"/>
  <c r="O1781" i="11"/>
  <c r="J1781" i="11"/>
  <c r="R1780" i="11"/>
  <c r="O1780" i="11"/>
  <c r="J1780" i="11"/>
  <c r="R1779" i="11"/>
  <c r="O1779" i="11"/>
  <c r="J1779" i="11"/>
  <c r="R1778" i="11"/>
  <c r="Q1778" i="11"/>
  <c r="O1778" i="11"/>
  <c r="J1778" i="11"/>
  <c r="T1776" i="11"/>
  <c r="S1776" i="11"/>
  <c r="O1776" i="11"/>
  <c r="J1776" i="11"/>
  <c r="I1776" i="11"/>
  <c r="T1775" i="11"/>
  <c r="S1775" i="11"/>
  <c r="O1775" i="11"/>
  <c r="J1775" i="11"/>
  <c r="I1775" i="11"/>
  <c r="T1774" i="11"/>
  <c r="S1774" i="11"/>
  <c r="O1774" i="11"/>
  <c r="J1774" i="11"/>
  <c r="N1774" i="11" s="1"/>
  <c r="I1774" i="11"/>
  <c r="T1773" i="11"/>
  <c r="S1773" i="11"/>
  <c r="O1773" i="11"/>
  <c r="J1773" i="11"/>
  <c r="I1773" i="11"/>
  <c r="T1772" i="11"/>
  <c r="S1772" i="11"/>
  <c r="O1772" i="11"/>
  <c r="J1772" i="11"/>
  <c r="I1772" i="11"/>
  <c r="R1771" i="11"/>
  <c r="O1771" i="11"/>
  <c r="C1771" i="11"/>
  <c r="T1770" i="11"/>
  <c r="S1770" i="11"/>
  <c r="O1770" i="11"/>
  <c r="J1770" i="11"/>
  <c r="I1770" i="11"/>
  <c r="T1769" i="11"/>
  <c r="S1769" i="11"/>
  <c r="O1769" i="11"/>
  <c r="J1769" i="11"/>
  <c r="I1769" i="11"/>
  <c r="T1768" i="11"/>
  <c r="S1768" i="11"/>
  <c r="O1768" i="11"/>
  <c r="J1768" i="11"/>
  <c r="I1768" i="11"/>
  <c r="T1767" i="11"/>
  <c r="S1767" i="11"/>
  <c r="O1767" i="11"/>
  <c r="J1767" i="11"/>
  <c r="I1767" i="11"/>
  <c r="T1766" i="11"/>
  <c r="S1766" i="11"/>
  <c r="O1766" i="11"/>
  <c r="J1766" i="11"/>
  <c r="I1766" i="11"/>
  <c r="R1765" i="11"/>
  <c r="O1765" i="11"/>
  <c r="C1765" i="11"/>
  <c r="T1764" i="11"/>
  <c r="S1764" i="11"/>
  <c r="O1764" i="11"/>
  <c r="J1764" i="11"/>
  <c r="I1764" i="11"/>
  <c r="T1763" i="11"/>
  <c r="S1763" i="11"/>
  <c r="O1763" i="11"/>
  <c r="J1763" i="11"/>
  <c r="I1763" i="11"/>
  <c r="T1762" i="11"/>
  <c r="S1762" i="11"/>
  <c r="O1762" i="11"/>
  <c r="J1762" i="11"/>
  <c r="I1762" i="11"/>
  <c r="T1761" i="11"/>
  <c r="S1761" i="11"/>
  <c r="O1761" i="11"/>
  <c r="J1761" i="11"/>
  <c r="I1761" i="11"/>
  <c r="T1760" i="11"/>
  <c r="S1760" i="11"/>
  <c r="O1760" i="11"/>
  <c r="J1760" i="11"/>
  <c r="I1760" i="11"/>
  <c r="R1759" i="11"/>
  <c r="O1759" i="11"/>
  <c r="C1759" i="11"/>
  <c r="T1758" i="11"/>
  <c r="S1758" i="11"/>
  <c r="O1758" i="11"/>
  <c r="J1758" i="11"/>
  <c r="N1758" i="11" s="1"/>
  <c r="I1758" i="11"/>
  <c r="T1757" i="11"/>
  <c r="S1757" i="11"/>
  <c r="O1757" i="11"/>
  <c r="J1757" i="11"/>
  <c r="I1757" i="11"/>
  <c r="T1756" i="11"/>
  <c r="S1756" i="11"/>
  <c r="O1756" i="11"/>
  <c r="J1756" i="11"/>
  <c r="I1756" i="11"/>
  <c r="T1755" i="11"/>
  <c r="S1755" i="11"/>
  <c r="O1755" i="11"/>
  <c r="J1755" i="11"/>
  <c r="I1755" i="11"/>
  <c r="T1754" i="11"/>
  <c r="S1754" i="11"/>
  <c r="O1754" i="11"/>
  <c r="J1754" i="11"/>
  <c r="N1754" i="11" s="1"/>
  <c r="I1754" i="11"/>
  <c r="R1753" i="11"/>
  <c r="O1753" i="11"/>
  <c r="C1753" i="11"/>
  <c r="T1752" i="11"/>
  <c r="S1752" i="11"/>
  <c r="O1752" i="11"/>
  <c r="J1752" i="11"/>
  <c r="I1752" i="11"/>
  <c r="T1751" i="11"/>
  <c r="S1751" i="11"/>
  <c r="O1751" i="11"/>
  <c r="J1751" i="11"/>
  <c r="I1751" i="11"/>
  <c r="T1750" i="11"/>
  <c r="S1750" i="11"/>
  <c r="O1750" i="11"/>
  <c r="J1750" i="11"/>
  <c r="I1750" i="11"/>
  <c r="T1749" i="11"/>
  <c r="S1749" i="11"/>
  <c r="O1749" i="11"/>
  <c r="J1749" i="11"/>
  <c r="I1749" i="11"/>
  <c r="T1748" i="11"/>
  <c r="S1748" i="11"/>
  <c r="O1748" i="11"/>
  <c r="J1748" i="11"/>
  <c r="I1748" i="11"/>
  <c r="R1747" i="11"/>
  <c r="O1747" i="11"/>
  <c r="C1747" i="11"/>
  <c r="T1746" i="11"/>
  <c r="S1746" i="11"/>
  <c r="O1746" i="11"/>
  <c r="J1746" i="11"/>
  <c r="N1746" i="11" s="1"/>
  <c r="I1746" i="11"/>
  <c r="T1745" i="11"/>
  <c r="S1745" i="11"/>
  <c r="O1745" i="11"/>
  <c r="J1745" i="11"/>
  <c r="I1745" i="11"/>
  <c r="T1744" i="11"/>
  <c r="S1744" i="11"/>
  <c r="O1744" i="11"/>
  <c r="J1744" i="11"/>
  <c r="I1744" i="11"/>
  <c r="T1743" i="11"/>
  <c r="S1743" i="11"/>
  <c r="O1743" i="11"/>
  <c r="J1743" i="11"/>
  <c r="I1743" i="11"/>
  <c r="T1742" i="11"/>
  <c r="S1742" i="11"/>
  <c r="O1742" i="11"/>
  <c r="J1742" i="11"/>
  <c r="N1742" i="11" s="1"/>
  <c r="I1742" i="11"/>
  <c r="R1741" i="11"/>
  <c r="O1741" i="11"/>
  <c r="C1741" i="11"/>
  <c r="T1740" i="11"/>
  <c r="S1740" i="11"/>
  <c r="O1740" i="11"/>
  <c r="J1740" i="11"/>
  <c r="I1740" i="11"/>
  <c r="T1739" i="11"/>
  <c r="S1739" i="11"/>
  <c r="O1739" i="11"/>
  <c r="J1739" i="11"/>
  <c r="I1739" i="11"/>
  <c r="T1738" i="11"/>
  <c r="S1738" i="11"/>
  <c r="O1738" i="11"/>
  <c r="J1738" i="11"/>
  <c r="I1738" i="11"/>
  <c r="T1737" i="11"/>
  <c r="S1737" i="11"/>
  <c r="O1737" i="11"/>
  <c r="J1737" i="11"/>
  <c r="I1737" i="11"/>
  <c r="T1736" i="11"/>
  <c r="S1736" i="11"/>
  <c r="O1736" i="11"/>
  <c r="J1736" i="11"/>
  <c r="I1736" i="11"/>
  <c r="R1735" i="11"/>
  <c r="O1735" i="11"/>
  <c r="C1735" i="11"/>
  <c r="T1734" i="11"/>
  <c r="S1734" i="11"/>
  <c r="O1734" i="11"/>
  <c r="J1734" i="11"/>
  <c r="I1734" i="11"/>
  <c r="T1733" i="11"/>
  <c r="S1733" i="11"/>
  <c r="O1733" i="11"/>
  <c r="J1733" i="11"/>
  <c r="I1733" i="11"/>
  <c r="T1732" i="11"/>
  <c r="S1732" i="11"/>
  <c r="O1732" i="11"/>
  <c r="J1732" i="11"/>
  <c r="I1732" i="11"/>
  <c r="T1731" i="11"/>
  <c r="S1731" i="11"/>
  <c r="O1731" i="11"/>
  <c r="J1731" i="11"/>
  <c r="I1731" i="11"/>
  <c r="T1730" i="11"/>
  <c r="S1730" i="11"/>
  <c r="O1730" i="11"/>
  <c r="J1730" i="11"/>
  <c r="I1730" i="11"/>
  <c r="R1729" i="11"/>
  <c r="O1729" i="11"/>
  <c r="C1729" i="11"/>
  <c r="T1728" i="11"/>
  <c r="S1728" i="11"/>
  <c r="O1728" i="11"/>
  <c r="J1728" i="11"/>
  <c r="I1728" i="11"/>
  <c r="T1727" i="11"/>
  <c r="S1727" i="11"/>
  <c r="O1727" i="11"/>
  <c r="J1727" i="11"/>
  <c r="I1727" i="11"/>
  <c r="T1726" i="11"/>
  <c r="S1726" i="11"/>
  <c r="O1726" i="11"/>
  <c r="J1726" i="11"/>
  <c r="N1726" i="11" s="1"/>
  <c r="I1726" i="11"/>
  <c r="T1725" i="11"/>
  <c r="S1725" i="11"/>
  <c r="O1725" i="11"/>
  <c r="J1725" i="11"/>
  <c r="I1725" i="11"/>
  <c r="T1724" i="11"/>
  <c r="S1724" i="11"/>
  <c r="O1724" i="11"/>
  <c r="J1724" i="11"/>
  <c r="I1724" i="11"/>
  <c r="R1723" i="11"/>
  <c r="O1723" i="11"/>
  <c r="C1723" i="11"/>
  <c r="T1722" i="11"/>
  <c r="S1722" i="11"/>
  <c r="O1722" i="11"/>
  <c r="J1722" i="11"/>
  <c r="I1722" i="11"/>
  <c r="T1721" i="11"/>
  <c r="S1721" i="11"/>
  <c r="O1721" i="11"/>
  <c r="J1721" i="11"/>
  <c r="I1721" i="11"/>
  <c r="T1720" i="11"/>
  <c r="S1720" i="11"/>
  <c r="O1720" i="11"/>
  <c r="J1720" i="11"/>
  <c r="I1720" i="11"/>
  <c r="T1719" i="11"/>
  <c r="S1719" i="11"/>
  <c r="O1719" i="11"/>
  <c r="J1719" i="11"/>
  <c r="I1719" i="11"/>
  <c r="T1718" i="11"/>
  <c r="S1718" i="11"/>
  <c r="O1718" i="11"/>
  <c r="J1718" i="11"/>
  <c r="I1718" i="11"/>
  <c r="R1717" i="11"/>
  <c r="O1717" i="11"/>
  <c r="C1717" i="11"/>
  <c r="T1716" i="11"/>
  <c r="S1716" i="11"/>
  <c r="O1716" i="11"/>
  <c r="J1716" i="11"/>
  <c r="T1715" i="11"/>
  <c r="S1715" i="11"/>
  <c r="O1715" i="11"/>
  <c r="J1715" i="11"/>
  <c r="T1714" i="11"/>
  <c r="S1714" i="11"/>
  <c r="O1714" i="11"/>
  <c r="J1714" i="11"/>
  <c r="N1714" i="11" s="1"/>
  <c r="T1713" i="11"/>
  <c r="S1713" i="11"/>
  <c r="O1713" i="11"/>
  <c r="J1713" i="11"/>
  <c r="T1712" i="11"/>
  <c r="S1712" i="11"/>
  <c r="O1712" i="11"/>
  <c r="J1712" i="11"/>
  <c r="R1711" i="11"/>
  <c r="O1711" i="11"/>
  <c r="T1710" i="11"/>
  <c r="S1710" i="11"/>
  <c r="O1710" i="11"/>
  <c r="J1710" i="11"/>
  <c r="T1709" i="11"/>
  <c r="S1709" i="11"/>
  <c r="O1709" i="11"/>
  <c r="J1709" i="11"/>
  <c r="T1708" i="11"/>
  <c r="S1708" i="11"/>
  <c r="O1708" i="11"/>
  <c r="J1708" i="11"/>
  <c r="T1707" i="11"/>
  <c r="S1707" i="11"/>
  <c r="O1707" i="11"/>
  <c r="J1707" i="11"/>
  <c r="T1706" i="11"/>
  <c r="S1706" i="11"/>
  <c r="O1706" i="11"/>
  <c r="J1706" i="11"/>
  <c r="R1705" i="11"/>
  <c r="Q1705" i="11"/>
  <c r="O1705" i="11"/>
  <c r="T1704" i="11"/>
  <c r="S1704" i="11"/>
  <c r="O1704" i="11"/>
  <c r="J1704" i="11"/>
  <c r="T1703" i="11"/>
  <c r="S1703" i="11"/>
  <c r="O1703" i="11"/>
  <c r="J1703" i="11"/>
  <c r="T1702" i="11"/>
  <c r="S1702" i="11"/>
  <c r="O1702" i="11"/>
  <c r="J1702" i="11"/>
  <c r="N1702" i="11" s="1"/>
  <c r="T1701" i="11"/>
  <c r="S1701" i="11"/>
  <c r="O1701" i="11"/>
  <c r="J1701" i="11"/>
  <c r="T1700" i="11"/>
  <c r="S1700" i="11"/>
  <c r="O1700" i="11"/>
  <c r="J1700" i="11"/>
  <c r="R1699" i="11"/>
  <c r="O1699" i="11"/>
  <c r="T1698" i="11"/>
  <c r="S1698" i="11"/>
  <c r="O1698" i="11"/>
  <c r="J1698" i="11"/>
  <c r="N1698" i="11" s="1"/>
  <c r="T1697" i="11"/>
  <c r="S1697" i="11"/>
  <c r="O1697" i="11"/>
  <c r="J1697" i="11"/>
  <c r="T1696" i="11"/>
  <c r="S1696" i="11"/>
  <c r="O1696" i="11"/>
  <c r="J1696" i="11"/>
  <c r="T1695" i="11"/>
  <c r="S1695" i="11"/>
  <c r="O1695" i="11"/>
  <c r="J1695" i="11"/>
  <c r="T1694" i="11"/>
  <c r="S1694" i="11"/>
  <c r="O1694" i="11"/>
  <c r="J1694" i="11"/>
  <c r="N1694" i="11" s="1"/>
  <c r="R1693" i="11"/>
  <c r="O1693" i="11"/>
  <c r="T1692" i="11"/>
  <c r="S1692" i="11"/>
  <c r="O1692" i="11"/>
  <c r="J1692" i="11"/>
  <c r="T1691" i="11"/>
  <c r="S1691" i="11"/>
  <c r="O1691" i="11"/>
  <c r="J1691" i="11"/>
  <c r="T1690" i="11"/>
  <c r="S1690" i="11"/>
  <c r="O1690" i="11"/>
  <c r="J1690" i="11"/>
  <c r="T1689" i="11"/>
  <c r="S1689" i="11"/>
  <c r="O1689" i="11"/>
  <c r="J1689" i="11"/>
  <c r="T1688" i="11"/>
  <c r="S1688" i="11"/>
  <c r="O1688" i="11"/>
  <c r="J1688" i="11"/>
  <c r="R1687" i="11"/>
  <c r="O1687" i="11"/>
  <c r="T1686" i="11"/>
  <c r="S1686" i="11"/>
  <c r="O1686" i="11"/>
  <c r="J1686" i="11"/>
  <c r="N1686" i="11" s="1"/>
  <c r="T1685" i="11"/>
  <c r="S1685" i="11"/>
  <c r="O1685" i="11"/>
  <c r="J1685" i="11"/>
  <c r="T1684" i="11"/>
  <c r="S1684" i="11"/>
  <c r="O1684" i="11"/>
  <c r="J1684" i="11"/>
  <c r="T1683" i="11"/>
  <c r="S1683" i="11"/>
  <c r="O1683" i="11"/>
  <c r="J1683" i="11"/>
  <c r="T1682" i="11"/>
  <c r="S1682" i="11"/>
  <c r="O1682" i="11"/>
  <c r="J1682" i="11"/>
  <c r="N1682" i="11" s="1"/>
  <c r="R1681" i="11"/>
  <c r="Q1681" i="11"/>
  <c r="O1681" i="11"/>
  <c r="T1680" i="11"/>
  <c r="S1680" i="11"/>
  <c r="O1680" i="11"/>
  <c r="J1680" i="11"/>
  <c r="T1679" i="11"/>
  <c r="S1679" i="11"/>
  <c r="O1679" i="11"/>
  <c r="J1679" i="11"/>
  <c r="T1678" i="11"/>
  <c r="S1678" i="11"/>
  <c r="O1678" i="11"/>
  <c r="J1678" i="11"/>
  <c r="T1677" i="11"/>
  <c r="S1677" i="11"/>
  <c r="O1677" i="11"/>
  <c r="J1677" i="11"/>
  <c r="T1676" i="11"/>
  <c r="S1676" i="11"/>
  <c r="O1676" i="11"/>
  <c r="J1676" i="11"/>
  <c r="R1675" i="11"/>
  <c r="O1675" i="11"/>
  <c r="T1674" i="11"/>
  <c r="S1674" i="11"/>
  <c r="O1674" i="11"/>
  <c r="J1674" i="11"/>
  <c r="N1674" i="11" s="1"/>
  <c r="T1673" i="11"/>
  <c r="S1673" i="11"/>
  <c r="O1673" i="11"/>
  <c r="J1673" i="11"/>
  <c r="T1672" i="11"/>
  <c r="S1672" i="11"/>
  <c r="O1672" i="11"/>
  <c r="J1672" i="11"/>
  <c r="T1671" i="11"/>
  <c r="S1671" i="11"/>
  <c r="O1671" i="11"/>
  <c r="J1671" i="11"/>
  <c r="T1670" i="11"/>
  <c r="S1670" i="11"/>
  <c r="O1670" i="11"/>
  <c r="J1670" i="11"/>
  <c r="N1670" i="11" s="1"/>
  <c r="R1669" i="11"/>
  <c r="O1669" i="11"/>
  <c r="T1668" i="11"/>
  <c r="S1668" i="11"/>
  <c r="O1668" i="11"/>
  <c r="J1668" i="11"/>
  <c r="T1667" i="11"/>
  <c r="S1667" i="11"/>
  <c r="O1667" i="11"/>
  <c r="J1667" i="11"/>
  <c r="T1666" i="11"/>
  <c r="S1666" i="11"/>
  <c r="O1666" i="11"/>
  <c r="J1666" i="11"/>
  <c r="T1665" i="11"/>
  <c r="S1665" i="11"/>
  <c r="O1665" i="11"/>
  <c r="J1665" i="11"/>
  <c r="T1664" i="11"/>
  <c r="S1664" i="11"/>
  <c r="O1664" i="11"/>
  <c r="J1664" i="11"/>
  <c r="R1663" i="11"/>
  <c r="Q1663" i="11"/>
  <c r="O1663" i="11"/>
  <c r="T1662" i="11"/>
  <c r="S1662" i="11"/>
  <c r="O1662" i="11"/>
  <c r="J1662" i="11"/>
  <c r="T1661" i="11"/>
  <c r="S1661" i="11"/>
  <c r="O1661" i="11"/>
  <c r="J1661" i="11"/>
  <c r="T1660" i="11"/>
  <c r="S1660" i="11"/>
  <c r="O1660" i="11"/>
  <c r="J1660" i="11"/>
  <c r="T1659" i="11"/>
  <c r="S1659" i="11"/>
  <c r="O1659" i="11"/>
  <c r="J1659" i="11"/>
  <c r="T1658" i="11"/>
  <c r="S1658" i="11"/>
  <c r="O1658" i="11"/>
  <c r="J1658" i="11"/>
  <c r="R1657" i="11"/>
  <c r="O1657" i="11"/>
  <c r="T1656" i="11"/>
  <c r="S1656" i="11"/>
  <c r="O1656" i="11"/>
  <c r="J1656" i="11"/>
  <c r="T1655" i="11"/>
  <c r="S1655" i="11"/>
  <c r="O1655" i="11"/>
  <c r="J1655" i="11"/>
  <c r="T1654" i="11"/>
  <c r="S1654" i="11"/>
  <c r="O1654" i="11"/>
  <c r="J1654" i="11"/>
  <c r="N1654" i="11" s="1"/>
  <c r="T1653" i="11"/>
  <c r="S1653" i="11"/>
  <c r="O1653" i="11"/>
  <c r="J1653" i="11"/>
  <c r="T1652" i="11"/>
  <c r="S1652" i="11"/>
  <c r="O1652" i="11"/>
  <c r="J1652" i="11"/>
  <c r="R1651" i="11"/>
  <c r="O1651" i="11"/>
  <c r="T1650" i="11"/>
  <c r="S1650" i="11"/>
  <c r="O1650" i="11"/>
  <c r="J1650" i="11"/>
  <c r="T1649" i="11"/>
  <c r="S1649" i="11"/>
  <c r="O1649" i="11"/>
  <c r="J1649" i="11"/>
  <c r="T1648" i="11"/>
  <c r="S1648" i="11"/>
  <c r="O1648" i="11"/>
  <c r="J1648" i="11"/>
  <c r="T1647" i="11"/>
  <c r="S1647" i="11"/>
  <c r="O1647" i="11"/>
  <c r="J1647" i="11"/>
  <c r="T1646" i="11"/>
  <c r="S1646" i="11"/>
  <c r="O1646" i="11"/>
  <c r="J1646" i="11"/>
  <c r="R1645" i="11"/>
  <c r="O1645" i="11"/>
  <c r="T1644" i="11"/>
  <c r="S1644" i="11"/>
  <c r="O1644" i="11"/>
  <c r="J1644" i="11"/>
  <c r="T1643" i="11"/>
  <c r="S1643" i="11"/>
  <c r="O1643" i="11"/>
  <c r="J1643" i="11"/>
  <c r="T1642" i="11"/>
  <c r="S1642" i="11"/>
  <c r="O1642" i="11"/>
  <c r="J1642" i="11"/>
  <c r="N1642" i="11" s="1"/>
  <c r="T1641" i="11"/>
  <c r="S1641" i="11"/>
  <c r="O1641" i="11"/>
  <c r="J1641" i="11"/>
  <c r="T1640" i="11"/>
  <c r="S1640" i="11"/>
  <c r="O1640" i="11"/>
  <c r="J1640" i="11"/>
  <c r="R1639" i="11"/>
  <c r="O1639" i="11"/>
  <c r="T1638" i="11"/>
  <c r="S1638" i="11"/>
  <c r="O1638" i="11"/>
  <c r="J1638" i="11"/>
  <c r="T1637" i="11"/>
  <c r="S1637" i="11"/>
  <c r="O1637" i="11"/>
  <c r="J1637" i="11"/>
  <c r="T1636" i="11"/>
  <c r="S1636" i="11"/>
  <c r="O1636" i="11"/>
  <c r="J1636" i="11"/>
  <c r="T1635" i="11"/>
  <c r="S1635" i="11"/>
  <c r="O1635" i="11"/>
  <c r="J1635" i="11"/>
  <c r="T1634" i="11"/>
  <c r="S1634" i="11"/>
  <c r="O1634" i="11"/>
  <c r="J1634" i="11"/>
  <c r="R1633" i="11"/>
  <c r="O1633" i="11"/>
  <c r="T1632" i="11"/>
  <c r="S1632" i="11"/>
  <c r="O1632" i="11"/>
  <c r="J1632" i="11"/>
  <c r="T1631" i="11"/>
  <c r="S1631" i="11"/>
  <c r="O1631" i="11"/>
  <c r="J1631" i="11"/>
  <c r="T1630" i="11"/>
  <c r="S1630" i="11"/>
  <c r="O1630" i="11"/>
  <c r="J1630" i="11"/>
  <c r="N1630" i="11" s="1"/>
  <c r="T1629" i="11"/>
  <c r="S1629" i="11"/>
  <c r="O1629" i="11"/>
  <c r="J1629" i="11"/>
  <c r="T1628" i="11"/>
  <c r="S1628" i="11"/>
  <c r="O1628" i="11"/>
  <c r="J1628" i="11"/>
  <c r="R1627" i="11"/>
  <c r="O1627" i="11"/>
  <c r="T1626" i="11"/>
  <c r="S1626" i="11"/>
  <c r="O1626" i="11"/>
  <c r="J1626" i="11"/>
  <c r="T1625" i="11"/>
  <c r="S1625" i="11"/>
  <c r="O1625" i="11"/>
  <c r="J1625" i="11"/>
  <c r="T1624" i="11"/>
  <c r="S1624" i="11"/>
  <c r="O1624" i="11"/>
  <c r="J1624" i="11"/>
  <c r="T1623" i="11"/>
  <c r="S1623" i="11"/>
  <c r="O1623" i="11"/>
  <c r="J1623" i="11"/>
  <c r="T1622" i="11"/>
  <c r="S1622" i="11"/>
  <c r="O1622" i="11"/>
  <c r="J1622" i="11"/>
  <c r="R1621" i="11"/>
  <c r="O1621" i="11"/>
  <c r="T1620" i="11"/>
  <c r="S1620" i="11"/>
  <c r="O1620" i="11"/>
  <c r="J1620" i="11"/>
  <c r="T1619" i="11"/>
  <c r="S1619" i="11"/>
  <c r="O1619" i="11"/>
  <c r="J1619" i="11"/>
  <c r="T1618" i="11"/>
  <c r="S1618" i="11"/>
  <c r="O1618" i="11"/>
  <c r="J1618" i="11"/>
  <c r="N1618" i="11" s="1"/>
  <c r="T1617" i="11"/>
  <c r="S1617" i="11"/>
  <c r="O1617" i="11"/>
  <c r="J1617" i="11"/>
  <c r="T1616" i="11"/>
  <c r="S1616" i="11"/>
  <c r="O1616" i="11"/>
  <c r="J1616" i="11"/>
  <c r="R1615" i="11"/>
  <c r="O1615" i="11"/>
  <c r="T1614" i="11"/>
  <c r="S1614" i="11"/>
  <c r="O1614" i="11"/>
  <c r="J1614" i="11"/>
  <c r="T1613" i="11"/>
  <c r="S1613" i="11"/>
  <c r="O1613" i="11"/>
  <c r="J1613" i="11"/>
  <c r="T1612" i="11"/>
  <c r="S1612" i="11"/>
  <c r="O1612" i="11"/>
  <c r="J1612" i="11"/>
  <c r="T1611" i="11"/>
  <c r="S1611" i="11"/>
  <c r="O1611" i="11"/>
  <c r="J1611" i="11"/>
  <c r="T1610" i="11"/>
  <c r="S1610" i="11"/>
  <c r="O1610" i="11"/>
  <c r="J1610" i="11"/>
  <c r="N1610" i="11" s="1"/>
  <c r="R1609" i="11"/>
  <c r="O1609" i="11"/>
  <c r="T1608" i="11"/>
  <c r="S1608" i="11"/>
  <c r="O1608" i="11"/>
  <c r="J1608" i="11"/>
  <c r="T1607" i="11"/>
  <c r="S1607" i="11"/>
  <c r="O1607" i="11"/>
  <c r="J1607" i="11"/>
  <c r="T1606" i="11"/>
  <c r="S1606" i="11"/>
  <c r="O1606" i="11"/>
  <c r="J1606" i="11"/>
  <c r="T1605" i="11"/>
  <c r="S1605" i="11"/>
  <c r="O1605" i="11"/>
  <c r="J1605" i="11"/>
  <c r="T1604" i="11"/>
  <c r="S1604" i="11"/>
  <c r="O1604" i="11"/>
  <c r="J1604" i="11"/>
  <c r="R1603" i="11"/>
  <c r="O1603" i="11"/>
  <c r="T1602" i="11"/>
  <c r="S1602" i="11"/>
  <c r="O1602" i="11"/>
  <c r="J1602" i="11"/>
  <c r="N1602" i="11" s="1"/>
  <c r="T1601" i="11"/>
  <c r="S1601" i="11"/>
  <c r="O1601" i="11"/>
  <c r="J1601" i="11"/>
  <c r="T1600" i="11"/>
  <c r="S1600" i="11"/>
  <c r="O1600" i="11"/>
  <c r="J1600" i="11"/>
  <c r="T1599" i="11"/>
  <c r="S1599" i="11"/>
  <c r="O1599" i="11"/>
  <c r="J1599" i="11"/>
  <c r="T1598" i="11"/>
  <c r="S1598" i="11"/>
  <c r="O1598" i="11"/>
  <c r="J1598" i="11"/>
  <c r="N1598" i="11" s="1"/>
  <c r="R1597" i="11"/>
  <c r="Q1597" i="11"/>
  <c r="O1597" i="11"/>
  <c r="T1596" i="11"/>
  <c r="S1596" i="11"/>
  <c r="O1596" i="11"/>
  <c r="J1596" i="11"/>
  <c r="T1595" i="11"/>
  <c r="S1595" i="11"/>
  <c r="O1595" i="11"/>
  <c r="J1595" i="11"/>
  <c r="T1594" i="11"/>
  <c r="S1594" i="11"/>
  <c r="O1594" i="11"/>
  <c r="J1594" i="11"/>
  <c r="T1593" i="11"/>
  <c r="S1593" i="11"/>
  <c r="O1593" i="11"/>
  <c r="J1593" i="11"/>
  <c r="T1592" i="11"/>
  <c r="S1592" i="11"/>
  <c r="O1592" i="11"/>
  <c r="J1592" i="11"/>
  <c r="R1591" i="11"/>
  <c r="O1591" i="11"/>
  <c r="T1590" i="11"/>
  <c r="S1590" i="11"/>
  <c r="O1590" i="11"/>
  <c r="J1590" i="11"/>
  <c r="N1590" i="11" s="1"/>
  <c r="T1589" i="11"/>
  <c r="S1589" i="11"/>
  <c r="O1589" i="11"/>
  <c r="J1589" i="11"/>
  <c r="T1588" i="11"/>
  <c r="S1588" i="11"/>
  <c r="O1588" i="11"/>
  <c r="J1588" i="11"/>
  <c r="T1587" i="11"/>
  <c r="S1587" i="11"/>
  <c r="O1587" i="11"/>
  <c r="J1587" i="11"/>
  <c r="T1586" i="11"/>
  <c r="S1586" i="11"/>
  <c r="O1586" i="11"/>
  <c r="J1586" i="11"/>
  <c r="N1586" i="11" s="1"/>
  <c r="R1585" i="11"/>
  <c r="O1585" i="11"/>
  <c r="T1584" i="11"/>
  <c r="S1584" i="11"/>
  <c r="O1584" i="11"/>
  <c r="J1584" i="11"/>
  <c r="T1583" i="11"/>
  <c r="S1583" i="11"/>
  <c r="O1583" i="11"/>
  <c r="J1583" i="11"/>
  <c r="T1582" i="11"/>
  <c r="S1582" i="11"/>
  <c r="O1582" i="11"/>
  <c r="J1582" i="11"/>
  <c r="T1581" i="11"/>
  <c r="S1581" i="11"/>
  <c r="O1581" i="11"/>
  <c r="J1581" i="11"/>
  <c r="T1580" i="11"/>
  <c r="S1580" i="11"/>
  <c r="O1580" i="11"/>
  <c r="J1580" i="11"/>
  <c r="R1579" i="11"/>
  <c r="O1579" i="11"/>
  <c r="T1578" i="11"/>
  <c r="S1578" i="11"/>
  <c r="O1578" i="11"/>
  <c r="J1578" i="11"/>
  <c r="N1578" i="11" s="1"/>
  <c r="T1577" i="11"/>
  <c r="S1577" i="11"/>
  <c r="O1577" i="11"/>
  <c r="J1577" i="11"/>
  <c r="N1577" i="11" s="1"/>
  <c r="T1576" i="11"/>
  <c r="S1576" i="11"/>
  <c r="O1576" i="11"/>
  <c r="J1576" i="11"/>
  <c r="T1575" i="11"/>
  <c r="S1575" i="11"/>
  <c r="O1575" i="11"/>
  <c r="J1575" i="11"/>
  <c r="T1574" i="11"/>
  <c r="S1574" i="11"/>
  <c r="O1574" i="11"/>
  <c r="J1574" i="11"/>
  <c r="N1574" i="11" s="1"/>
  <c r="R1573" i="11"/>
  <c r="O1573" i="11"/>
  <c r="T1572" i="11"/>
  <c r="S1572" i="11"/>
  <c r="O1572" i="11"/>
  <c r="J1572" i="11"/>
  <c r="T1571" i="11"/>
  <c r="S1571" i="11"/>
  <c r="O1571" i="11"/>
  <c r="J1571" i="11"/>
  <c r="T1570" i="11"/>
  <c r="S1570" i="11"/>
  <c r="O1570" i="11"/>
  <c r="J1570" i="11"/>
  <c r="T1569" i="11"/>
  <c r="S1569" i="11"/>
  <c r="O1569" i="11"/>
  <c r="J1569" i="11"/>
  <c r="T1568" i="11"/>
  <c r="S1568" i="11"/>
  <c r="O1568" i="11"/>
  <c r="J1568" i="11"/>
  <c r="R1567" i="11"/>
  <c r="O1567" i="11"/>
  <c r="T1566" i="11"/>
  <c r="S1566" i="11"/>
  <c r="O1566" i="11"/>
  <c r="J1566" i="11"/>
  <c r="N1566" i="11" s="1"/>
  <c r="T1565" i="11"/>
  <c r="S1565" i="11"/>
  <c r="O1565" i="11"/>
  <c r="J1565" i="11"/>
  <c r="T1564" i="11"/>
  <c r="S1564" i="11"/>
  <c r="O1564" i="11"/>
  <c r="J1564" i="11"/>
  <c r="T1563" i="11"/>
  <c r="S1563" i="11"/>
  <c r="O1563" i="11"/>
  <c r="J1563" i="11"/>
  <c r="T1562" i="11"/>
  <c r="S1562" i="11"/>
  <c r="O1562" i="11"/>
  <c r="J1562" i="11"/>
  <c r="N1562" i="11" s="1"/>
  <c r="R1561" i="11"/>
  <c r="O1561" i="11"/>
  <c r="T1560" i="11"/>
  <c r="S1560" i="11"/>
  <c r="O1560" i="11"/>
  <c r="J1560" i="11"/>
  <c r="T1559" i="11"/>
  <c r="S1559" i="11"/>
  <c r="O1559" i="11"/>
  <c r="J1559" i="11"/>
  <c r="T1558" i="11"/>
  <c r="S1558" i="11"/>
  <c r="O1558" i="11"/>
  <c r="J1558" i="11"/>
  <c r="N1558" i="11" s="1"/>
  <c r="T1557" i="11"/>
  <c r="S1557" i="11"/>
  <c r="O1557" i="11"/>
  <c r="J1557" i="11"/>
  <c r="T1556" i="11"/>
  <c r="S1556" i="11"/>
  <c r="O1556" i="11"/>
  <c r="J1556" i="11"/>
  <c r="R1555" i="11"/>
  <c r="O1555" i="11"/>
  <c r="T1554" i="11"/>
  <c r="S1554" i="11"/>
  <c r="O1554" i="11"/>
  <c r="J1554" i="11"/>
  <c r="N1554" i="11" s="1"/>
  <c r="T1553" i="11"/>
  <c r="S1553" i="11"/>
  <c r="O1553" i="11"/>
  <c r="J1553" i="11"/>
  <c r="T1552" i="11"/>
  <c r="S1552" i="11"/>
  <c r="O1552" i="11"/>
  <c r="J1552" i="11"/>
  <c r="T1551" i="11"/>
  <c r="S1551" i="11"/>
  <c r="O1551" i="11"/>
  <c r="J1551" i="11"/>
  <c r="T1550" i="11"/>
  <c r="S1550" i="11"/>
  <c r="O1550" i="11"/>
  <c r="J1550" i="11"/>
  <c r="N1550" i="11" s="1"/>
  <c r="R1549" i="11"/>
  <c r="O1549" i="11"/>
  <c r="T1548" i="11"/>
  <c r="S1548" i="11"/>
  <c r="O1548" i="11"/>
  <c r="J1548" i="11"/>
  <c r="T1547" i="11"/>
  <c r="S1547" i="11"/>
  <c r="O1547" i="11"/>
  <c r="J1547" i="11"/>
  <c r="T1546" i="11"/>
  <c r="S1546" i="11"/>
  <c r="O1546" i="11"/>
  <c r="J1546" i="11"/>
  <c r="N1546" i="11" s="1"/>
  <c r="T1545" i="11"/>
  <c r="S1545" i="11"/>
  <c r="O1545" i="11"/>
  <c r="J1545" i="11"/>
  <c r="T1544" i="11"/>
  <c r="S1544" i="11"/>
  <c r="O1544" i="11"/>
  <c r="J1544" i="11"/>
  <c r="R1543" i="11"/>
  <c r="O1543" i="11"/>
  <c r="T1542" i="11"/>
  <c r="S1542" i="11"/>
  <c r="O1542" i="11"/>
  <c r="J1542" i="11"/>
  <c r="N1542" i="11" s="1"/>
  <c r="T1541" i="11"/>
  <c r="S1541" i="11"/>
  <c r="O1541" i="11"/>
  <c r="J1541" i="11"/>
  <c r="T1540" i="11"/>
  <c r="S1540" i="11"/>
  <c r="O1540" i="11"/>
  <c r="J1540" i="11"/>
  <c r="T1539" i="11"/>
  <c r="S1539" i="11"/>
  <c r="O1539" i="11"/>
  <c r="J1539" i="11"/>
  <c r="T1538" i="11"/>
  <c r="S1538" i="11"/>
  <c r="O1538" i="11"/>
  <c r="J1538" i="11"/>
  <c r="N1538" i="11" s="1"/>
  <c r="R1537" i="11"/>
  <c r="O1537" i="11"/>
  <c r="T1536" i="11"/>
  <c r="S1536" i="11"/>
  <c r="O1536" i="11"/>
  <c r="J1536" i="11"/>
  <c r="N1536" i="11" s="1"/>
  <c r="T1535" i="11"/>
  <c r="S1535" i="11"/>
  <c r="O1535" i="11"/>
  <c r="J1535" i="11"/>
  <c r="T1534" i="11"/>
  <c r="S1534" i="11"/>
  <c r="O1534" i="11"/>
  <c r="J1534" i="11"/>
  <c r="N1534" i="11" s="1"/>
  <c r="T1533" i="11"/>
  <c r="S1533" i="11"/>
  <c r="O1533" i="11"/>
  <c r="J1533" i="11"/>
  <c r="T1532" i="11"/>
  <c r="S1532" i="11"/>
  <c r="O1532" i="11"/>
  <c r="J1532" i="11"/>
  <c r="R1531" i="11"/>
  <c r="O1531" i="11"/>
  <c r="T1530" i="11"/>
  <c r="S1530" i="11"/>
  <c r="O1530" i="11"/>
  <c r="J1530" i="11"/>
  <c r="N1530" i="11" s="1"/>
  <c r="T1529" i="11"/>
  <c r="S1529" i="11"/>
  <c r="O1529" i="11"/>
  <c r="J1529" i="11"/>
  <c r="T1528" i="11"/>
  <c r="S1528" i="11"/>
  <c r="O1528" i="11"/>
  <c r="J1528" i="11"/>
  <c r="T1527" i="11"/>
  <c r="S1527" i="11"/>
  <c r="O1527" i="11"/>
  <c r="J1527" i="11"/>
  <c r="T1526" i="11"/>
  <c r="S1526" i="11"/>
  <c r="O1526" i="11"/>
  <c r="J1526" i="11"/>
  <c r="N1526" i="11" s="1"/>
  <c r="R1525" i="11"/>
  <c r="O1525" i="11"/>
  <c r="T1524" i="11"/>
  <c r="S1524" i="11"/>
  <c r="O1524" i="11"/>
  <c r="J1524" i="11"/>
  <c r="T1523" i="11"/>
  <c r="S1523" i="11"/>
  <c r="O1523" i="11"/>
  <c r="J1523" i="11"/>
  <c r="T1522" i="11"/>
  <c r="S1522" i="11"/>
  <c r="O1522" i="11"/>
  <c r="J1522" i="11"/>
  <c r="T1521" i="11"/>
  <c r="S1521" i="11"/>
  <c r="O1521" i="11"/>
  <c r="J1521" i="11"/>
  <c r="T1520" i="11"/>
  <c r="S1520" i="11"/>
  <c r="O1520" i="11"/>
  <c r="J1520" i="11"/>
  <c r="R1519" i="11"/>
  <c r="O1519" i="11"/>
  <c r="T1518" i="11"/>
  <c r="S1518" i="11"/>
  <c r="O1518" i="11"/>
  <c r="J1518" i="11"/>
  <c r="N1518" i="11" s="1"/>
  <c r="T1517" i="11"/>
  <c r="S1517" i="11"/>
  <c r="O1517" i="11"/>
  <c r="J1517" i="11"/>
  <c r="T1516" i="11"/>
  <c r="S1516" i="11"/>
  <c r="O1516" i="11"/>
  <c r="J1516" i="11"/>
  <c r="T1515" i="11"/>
  <c r="S1515" i="11"/>
  <c r="O1515" i="11"/>
  <c r="J1515" i="11"/>
  <c r="T1514" i="11"/>
  <c r="S1514" i="11"/>
  <c r="O1514" i="11"/>
  <c r="J1514" i="11"/>
  <c r="N1514" i="11" s="1"/>
  <c r="R1513" i="11"/>
  <c r="O1513" i="11"/>
  <c r="T1512" i="11"/>
  <c r="S1512" i="11"/>
  <c r="O1512" i="11"/>
  <c r="J1512" i="11"/>
  <c r="T1511" i="11"/>
  <c r="S1511" i="11"/>
  <c r="O1511" i="11"/>
  <c r="J1511" i="11"/>
  <c r="T1510" i="11"/>
  <c r="S1510" i="11"/>
  <c r="O1510" i="11"/>
  <c r="J1510" i="11"/>
  <c r="T1509" i="11"/>
  <c r="S1509" i="11"/>
  <c r="O1509" i="11"/>
  <c r="J1509" i="11"/>
  <c r="T1508" i="11"/>
  <c r="S1508" i="11"/>
  <c r="O1508" i="11"/>
  <c r="J1508" i="11"/>
  <c r="R1507" i="11"/>
  <c r="O1507" i="11"/>
  <c r="T1506" i="11"/>
  <c r="S1506" i="11"/>
  <c r="O1506" i="11"/>
  <c r="J1506" i="11"/>
  <c r="N1506" i="11" s="1"/>
  <c r="T1505" i="11"/>
  <c r="S1505" i="11"/>
  <c r="O1505" i="11"/>
  <c r="J1505" i="11"/>
  <c r="T1504" i="11"/>
  <c r="S1504" i="11"/>
  <c r="O1504" i="11"/>
  <c r="J1504" i="11"/>
  <c r="T1503" i="11"/>
  <c r="S1503" i="11"/>
  <c r="O1503" i="11"/>
  <c r="J1503" i="11"/>
  <c r="T1502" i="11"/>
  <c r="S1502" i="11"/>
  <c r="O1502" i="11"/>
  <c r="J1502" i="11"/>
  <c r="N1502" i="11" s="1"/>
  <c r="R1501" i="11"/>
  <c r="O1501" i="11"/>
  <c r="T1500" i="11"/>
  <c r="S1500" i="11"/>
  <c r="O1500" i="11"/>
  <c r="J1500" i="11"/>
  <c r="T1499" i="11"/>
  <c r="S1499" i="11"/>
  <c r="O1499" i="11"/>
  <c r="J1499" i="11"/>
  <c r="T1498" i="11"/>
  <c r="S1498" i="11"/>
  <c r="O1498" i="11"/>
  <c r="J1498" i="11"/>
  <c r="T1497" i="11"/>
  <c r="S1497" i="11"/>
  <c r="O1497" i="11"/>
  <c r="J1497" i="11"/>
  <c r="T1496" i="11"/>
  <c r="S1496" i="11"/>
  <c r="O1496" i="11"/>
  <c r="J1496" i="11"/>
  <c r="R1495" i="11"/>
  <c r="O1495" i="11"/>
  <c r="T1494" i="11"/>
  <c r="S1494" i="11"/>
  <c r="O1494" i="11"/>
  <c r="J1494" i="11"/>
  <c r="N1494" i="11" s="1"/>
  <c r="T1493" i="11"/>
  <c r="S1493" i="11"/>
  <c r="O1493" i="11"/>
  <c r="J1493" i="11"/>
  <c r="T1492" i="11"/>
  <c r="S1492" i="11"/>
  <c r="O1492" i="11"/>
  <c r="J1492" i="11"/>
  <c r="T1491" i="11"/>
  <c r="S1491" i="11"/>
  <c r="O1491" i="11"/>
  <c r="J1491" i="11"/>
  <c r="T1490" i="11"/>
  <c r="S1490" i="11"/>
  <c r="O1490" i="11"/>
  <c r="J1490" i="11"/>
  <c r="N1490" i="11" s="1"/>
  <c r="R1489" i="11"/>
  <c r="O1489" i="11"/>
  <c r="T1488" i="11"/>
  <c r="S1488" i="11"/>
  <c r="O1488" i="11"/>
  <c r="J1488" i="11"/>
  <c r="T1487" i="11"/>
  <c r="S1487" i="11"/>
  <c r="O1487" i="11"/>
  <c r="J1487" i="11"/>
  <c r="T1486" i="11"/>
  <c r="S1486" i="11"/>
  <c r="O1486" i="11"/>
  <c r="J1486" i="11"/>
  <c r="T1485" i="11"/>
  <c r="S1485" i="11"/>
  <c r="O1485" i="11"/>
  <c r="J1485" i="11"/>
  <c r="T1484" i="11"/>
  <c r="S1484" i="11"/>
  <c r="O1484" i="11"/>
  <c r="J1484" i="11"/>
  <c r="R1483" i="11"/>
  <c r="O1483" i="11"/>
  <c r="T1482" i="11"/>
  <c r="S1482" i="11"/>
  <c r="O1482" i="11"/>
  <c r="J1482" i="11"/>
  <c r="N1482" i="11" s="1"/>
  <c r="T1481" i="11"/>
  <c r="S1481" i="11"/>
  <c r="O1481" i="11"/>
  <c r="J1481" i="11"/>
  <c r="T1480" i="11"/>
  <c r="S1480" i="11"/>
  <c r="O1480" i="11"/>
  <c r="J1480" i="11"/>
  <c r="T1479" i="11"/>
  <c r="S1479" i="11"/>
  <c r="O1479" i="11"/>
  <c r="J1479" i="11"/>
  <c r="T1478" i="11"/>
  <c r="S1478" i="11"/>
  <c r="O1478" i="11"/>
  <c r="J1478" i="11"/>
  <c r="N1478" i="11" s="1"/>
  <c r="R1477" i="11"/>
  <c r="O1477" i="11"/>
  <c r="T1476" i="11"/>
  <c r="S1476" i="11"/>
  <c r="O1476" i="11"/>
  <c r="J1476" i="11"/>
  <c r="T1475" i="11"/>
  <c r="S1475" i="11"/>
  <c r="O1475" i="11"/>
  <c r="J1475" i="11"/>
  <c r="T1474" i="11"/>
  <c r="S1474" i="11"/>
  <c r="O1474" i="11"/>
  <c r="J1474" i="11"/>
  <c r="T1473" i="11"/>
  <c r="S1473" i="11"/>
  <c r="O1473" i="11"/>
  <c r="J1473" i="11"/>
  <c r="T1472" i="11"/>
  <c r="S1472" i="11"/>
  <c r="O1472" i="11"/>
  <c r="J1472" i="11"/>
  <c r="R1471" i="11"/>
  <c r="O1471" i="11"/>
  <c r="T1470" i="11"/>
  <c r="S1470" i="11"/>
  <c r="O1470" i="11"/>
  <c r="J1470" i="11"/>
  <c r="N1470" i="11" s="1"/>
  <c r="T1469" i="11"/>
  <c r="S1469" i="11"/>
  <c r="O1469" i="11"/>
  <c r="J1469" i="11"/>
  <c r="T1468" i="11"/>
  <c r="S1468" i="11"/>
  <c r="O1468" i="11"/>
  <c r="J1468" i="11"/>
  <c r="T1467" i="11"/>
  <c r="S1467" i="11"/>
  <c r="O1467" i="11"/>
  <c r="J1467" i="11"/>
  <c r="T1466" i="11"/>
  <c r="S1466" i="11"/>
  <c r="O1466" i="11"/>
  <c r="J1466" i="11"/>
  <c r="N1466" i="11" s="1"/>
  <c r="R1465" i="11"/>
  <c r="O1465" i="11"/>
  <c r="T1464" i="11"/>
  <c r="S1464" i="11"/>
  <c r="O1464" i="11"/>
  <c r="J1464" i="11"/>
  <c r="T1463" i="11"/>
  <c r="S1463" i="11"/>
  <c r="O1463" i="11"/>
  <c r="J1463" i="11"/>
  <c r="T1462" i="11"/>
  <c r="S1462" i="11"/>
  <c r="O1462" i="11"/>
  <c r="J1462" i="11"/>
  <c r="T1461" i="11"/>
  <c r="S1461" i="11"/>
  <c r="O1461" i="11"/>
  <c r="J1461" i="11"/>
  <c r="T1460" i="11"/>
  <c r="S1460" i="11"/>
  <c r="O1460" i="11"/>
  <c r="J1460" i="11"/>
  <c r="R1459" i="11"/>
  <c r="O1459" i="11"/>
  <c r="T1458" i="11"/>
  <c r="S1458" i="11"/>
  <c r="O1458" i="11"/>
  <c r="J1458" i="11"/>
  <c r="N1458" i="11" s="1"/>
  <c r="T1457" i="11"/>
  <c r="S1457" i="11"/>
  <c r="O1457" i="11"/>
  <c r="J1457" i="11"/>
  <c r="T1456" i="11"/>
  <c r="S1456" i="11"/>
  <c r="O1456" i="11"/>
  <c r="J1456" i="11"/>
  <c r="T1455" i="11"/>
  <c r="S1455" i="11"/>
  <c r="O1455" i="11"/>
  <c r="J1455" i="11"/>
  <c r="T1454" i="11"/>
  <c r="S1454" i="11"/>
  <c r="O1454" i="11"/>
  <c r="J1454" i="11"/>
  <c r="N1454" i="11" s="1"/>
  <c r="R1453" i="11"/>
  <c r="O1453" i="11"/>
  <c r="T1452" i="11"/>
  <c r="S1452" i="11"/>
  <c r="O1452" i="11"/>
  <c r="J1452" i="11"/>
  <c r="T1451" i="11"/>
  <c r="S1451" i="11"/>
  <c r="O1451" i="11"/>
  <c r="J1451" i="11"/>
  <c r="T1450" i="11"/>
  <c r="S1450" i="11"/>
  <c r="O1450" i="11"/>
  <c r="J1450" i="11"/>
  <c r="T1449" i="11"/>
  <c r="S1449" i="11"/>
  <c r="O1449" i="11"/>
  <c r="J1449" i="11"/>
  <c r="T1448" i="11"/>
  <c r="S1448" i="11"/>
  <c r="O1448" i="11"/>
  <c r="J1448" i="11"/>
  <c r="R1447" i="11"/>
  <c r="O1447" i="11"/>
  <c r="T1446" i="11"/>
  <c r="S1446" i="11"/>
  <c r="O1446" i="11"/>
  <c r="J1446" i="11"/>
  <c r="N1446" i="11" s="1"/>
  <c r="T1445" i="11"/>
  <c r="S1445" i="11"/>
  <c r="O1445" i="11"/>
  <c r="J1445" i="11"/>
  <c r="T1444" i="11"/>
  <c r="S1444" i="11"/>
  <c r="O1444" i="11"/>
  <c r="J1444" i="11"/>
  <c r="T1443" i="11"/>
  <c r="S1443" i="11"/>
  <c r="O1443" i="11"/>
  <c r="J1443" i="11"/>
  <c r="T1442" i="11"/>
  <c r="S1442" i="11"/>
  <c r="O1442" i="11"/>
  <c r="J1442" i="11"/>
  <c r="N1442" i="11" s="1"/>
  <c r="R1441" i="11"/>
  <c r="O1441" i="11"/>
  <c r="T1440" i="11"/>
  <c r="S1440" i="11"/>
  <c r="O1440" i="11"/>
  <c r="J1440" i="11"/>
  <c r="T1439" i="11"/>
  <c r="S1439" i="11"/>
  <c r="O1439" i="11"/>
  <c r="J1439" i="11"/>
  <c r="T1438" i="11"/>
  <c r="S1438" i="11"/>
  <c r="O1438" i="11"/>
  <c r="J1438" i="11"/>
  <c r="T1437" i="11"/>
  <c r="S1437" i="11"/>
  <c r="O1437" i="11"/>
  <c r="J1437" i="11"/>
  <c r="T1436" i="11"/>
  <c r="S1436" i="11"/>
  <c r="O1436" i="11"/>
  <c r="J1436" i="11"/>
  <c r="R1435" i="11"/>
  <c r="O1435" i="11"/>
  <c r="T1434" i="11"/>
  <c r="S1434" i="11"/>
  <c r="O1434" i="11"/>
  <c r="J1434" i="11"/>
  <c r="N1434" i="11" s="1"/>
  <c r="T1433" i="11"/>
  <c r="S1433" i="11"/>
  <c r="O1433" i="11"/>
  <c r="J1433" i="11"/>
  <c r="T1432" i="11"/>
  <c r="S1432" i="11"/>
  <c r="O1432" i="11"/>
  <c r="J1432" i="11"/>
  <c r="T1431" i="11"/>
  <c r="S1431" i="11"/>
  <c r="O1431" i="11"/>
  <c r="J1431" i="11"/>
  <c r="T1430" i="11"/>
  <c r="S1430" i="11"/>
  <c r="O1430" i="11"/>
  <c r="J1430" i="11"/>
  <c r="N1430" i="11" s="1"/>
  <c r="R1429" i="11"/>
  <c r="Q1429" i="11"/>
  <c r="O1429" i="11"/>
  <c r="T1428" i="11"/>
  <c r="S1428" i="11"/>
  <c r="O1428" i="11"/>
  <c r="J1428" i="11"/>
  <c r="T1427" i="11"/>
  <c r="S1427" i="11"/>
  <c r="O1427" i="11"/>
  <c r="J1427" i="11"/>
  <c r="T1426" i="11"/>
  <c r="S1426" i="11"/>
  <c r="O1426" i="11"/>
  <c r="J1426" i="11"/>
  <c r="N1426" i="11" s="1"/>
  <c r="T1425" i="11"/>
  <c r="S1425" i="11"/>
  <c r="O1425" i="11"/>
  <c r="J1425" i="11"/>
  <c r="T1424" i="11"/>
  <c r="S1424" i="11"/>
  <c r="O1424" i="11"/>
  <c r="J1424" i="11"/>
  <c r="R1423" i="11"/>
  <c r="O1423" i="11"/>
  <c r="T1422" i="11"/>
  <c r="S1422" i="11"/>
  <c r="O1422" i="11"/>
  <c r="J1422" i="11"/>
  <c r="T1421" i="11"/>
  <c r="S1421" i="11"/>
  <c r="O1421" i="11"/>
  <c r="J1421" i="11"/>
  <c r="N1421" i="11" s="1"/>
  <c r="T1420" i="11"/>
  <c r="S1420" i="11"/>
  <c r="O1420" i="11"/>
  <c r="J1420" i="11"/>
  <c r="T1419" i="11"/>
  <c r="S1419" i="11"/>
  <c r="O1419" i="11"/>
  <c r="J1419" i="11"/>
  <c r="T1418" i="11"/>
  <c r="S1418" i="11"/>
  <c r="O1418" i="11"/>
  <c r="J1418" i="11"/>
  <c r="R1417" i="11"/>
  <c r="O1417" i="11"/>
  <c r="T1416" i="11"/>
  <c r="S1416" i="11"/>
  <c r="O1416" i="11"/>
  <c r="J1416" i="11"/>
  <c r="T1415" i="11"/>
  <c r="S1415" i="11"/>
  <c r="O1415" i="11"/>
  <c r="J1415" i="11"/>
  <c r="T1414" i="11"/>
  <c r="S1414" i="11"/>
  <c r="O1414" i="11"/>
  <c r="J1414" i="11"/>
  <c r="N1414" i="11" s="1"/>
  <c r="T1413" i="11"/>
  <c r="S1413" i="11"/>
  <c r="O1413" i="11"/>
  <c r="J1413" i="11"/>
  <c r="T1412" i="11"/>
  <c r="S1412" i="11"/>
  <c r="O1412" i="11"/>
  <c r="J1412" i="11"/>
  <c r="R1411" i="11"/>
  <c r="O1411" i="11"/>
  <c r="T1410" i="11"/>
  <c r="S1410" i="11"/>
  <c r="O1410" i="11"/>
  <c r="J1410" i="11"/>
  <c r="T1409" i="11"/>
  <c r="S1409" i="11"/>
  <c r="O1409" i="11"/>
  <c r="J1409" i="11"/>
  <c r="T1408" i="11"/>
  <c r="S1408" i="11"/>
  <c r="O1408" i="11"/>
  <c r="J1408" i="11"/>
  <c r="T1407" i="11"/>
  <c r="S1407" i="11"/>
  <c r="O1407" i="11"/>
  <c r="J1407" i="11"/>
  <c r="T1406" i="11"/>
  <c r="S1406" i="11"/>
  <c r="O1406" i="11"/>
  <c r="J1406" i="11"/>
  <c r="R1405" i="11"/>
  <c r="O1405" i="11"/>
  <c r="T1404" i="11"/>
  <c r="S1404" i="11"/>
  <c r="O1404" i="11"/>
  <c r="J1404" i="11"/>
  <c r="T1403" i="11"/>
  <c r="S1403" i="11"/>
  <c r="O1403" i="11"/>
  <c r="J1403" i="11"/>
  <c r="N1403" i="11" s="1"/>
  <c r="T1402" i="11"/>
  <c r="S1402" i="11"/>
  <c r="O1402" i="11"/>
  <c r="J1402" i="11"/>
  <c r="N1402" i="11" s="1"/>
  <c r="T1401" i="11"/>
  <c r="S1401" i="11"/>
  <c r="O1401" i="11"/>
  <c r="J1401" i="11"/>
  <c r="N1401" i="11" s="1"/>
  <c r="T1400" i="11"/>
  <c r="S1400" i="11"/>
  <c r="O1400" i="11"/>
  <c r="J1400" i="11"/>
  <c r="R1399" i="11"/>
  <c r="O1399" i="11"/>
  <c r="T1398" i="11"/>
  <c r="S1398" i="11"/>
  <c r="O1398" i="11"/>
  <c r="J1398" i="11"/>
  <c r="N1398" i="11" s="1"/>
  <c r="T1397" i="11"/>
  <c r="S1397" i="11"/>
  <c r="O1397" i="11"/>
  <c r="J1397" i="11"/>
  <c r="T1396" i="11"/>
  <c r="S1396" i="11"/>
  <c r="O1396" i="11"/>
  <c r="J1396" i="11"/>
  <c r="T1395" i="11"/>
  <c r="S1395" i="11"/>
  <c r="O1395" i="11"/>
  <c r="J1395" i="11"/>
  <c r="T1394" i="11"/>
  <c r="S1394" i="11"/>
  <c r="O1394" i="11"/>
  <c r="J1394" i="11"/>
  <c r="N1394" i="11" s="1"/>
  <c r="R1393" i="11"/>
  <c r="O1393" i="11"/>
  <c r="T1392" i="11"/>
  <c r="S1392" i="11"/>
  <c r="O1392" i="11"/>
  <c r="J1392" i="11"/>
  <c r="T1391" i="11"/>
  <c r="S1391" i="11"/>
  <c r="O1391" i="11"/>
  <c r="J1391" i="11"/>
  <c r="T1390" i="11"/>
  <c r="S1390" i="11"/>
  <c r="O1390" i="11"/>
  <c r="J1390" i="11"/>
  <c r="T1389" i="11"/>
  <c r="S1389" i="11"/>
  <c r="O1389" i="11"/>
  <c r="J1389" i="11"/>
  <c r="T1388" i="11"/>
  <c r="S1388" i="11"/>
  <c r="O1388" i="11"/>
  <c r="J1388" i="11"/>
  <c r="R1387" i="11"/>
  <c r="O1387" i="11"/>
  <c r="T1386" i="11"/>
  <c r="S1386" i="11"/>
  <c r="O1386" i="11"/>
  <c r="J1386" i="11"/>
  <c r="N1386" i="11" s="1"/>
  <c r="T1385" i="11"/>
  <c r="S1385" i="11"/>
  <c r="O1385" i="11"/>
  <c r="J1385" i="11"/>
  <c r="T1384" i="11"/>
  <c r="S1384" i="11"/>
  <c r="O1384" i="11"/>
  <c r="J1384" i="11"/>
  <c r="T1383" i="11"/>
  <c r="S1383" i="11"/>
  <c r="O1383" i="11"/>
  <c r="J1383" i="11"/>
  <c r="T1382" i="11"/>
  <c r="S1382" i="11"/>
  <c r="O1382" i="11"/>
  <c r="J1382" i="11"/>
  <c r="N1382" i="11" s="1"/>
  <c r="R1381" i="11"/>
  <c r="Q1381" i="11"/>
  <c r="O1381" i="11"/>
  <c r="T1380" i="11"/>
  <c r="S1380" i="11"/>
  <c r="O1380" i="11"/>
  <c r="J1380" i="11"/>
  <c r="T1379" i="11"/>
  <c r="S1379" i="11"/>
  <c r="O1379" i="11"/>
  <c r="J1379" i="11"/>
  <c r="T1378" i="11"/>
  <c r="S1378" i="11"/>
  <c r="O1378" i="11"/>
  <c r="J1378" i="11"/>
  <c r="T1377" i="11"/>
  <c r="S1377" i="11"/>
  <c r="O1377" i="11"/>
  <c r="J1377" i="11"/>
  <c r="T1376" i="11"/>
  <c r="S1376" i="11"/>
  <c r="O1376" i="11"/>
  <c r="J1376" i="11"/>
  <c r="N1376" i="11" s="1"/>
  <c r="R1375" i="11"/>
  <c r="O1375" i="11"/>
  <c r="T1374" i="11"/>
  <c r="S1374" i="11"/>
  <c r="O1374" i="11"/>
  <c r="J1374" i="11"/>
  <c r="N1374" i="11" s="1"/>
  <c r="T1373" i="11"/>
  <c r="S1373" i="11"/>
  <c r="O1373" i="11"/>
  <c r="J1373" i="11"/>
  <c r="N1373" i="11" s="1"/>
  <c r="T1372" i="11"/>
  <c r="S1372" i="11"/>
  <c r="O1372" i="11"/>
  <c r="J1372" i="11"/>
  <c r="T1371" i="11"/>
  <c r="S1371" i="11"/>
  <c r="O1371" i="11"/>
  <c r="J1371" i="11"/>
  <c r="T1370" i="11"/>
  <c r="S1370" i="11"/>
  <c r="O1370" i="11"/>
  <c r="J1370" i="11"/>
  <c r="N1370" i="11" s="1"/>
  <c r="R1369" i="11"/>
  <c r="O1369" i="11"/>
  <c r="T1368" i="11"/>
  <c r="S1368" i="11"/>
  <c r="O1368" i="11"/>
  <c r="J1368" i="11"/>
  <c r="T1367" i="11"/>
  <c r="S1367" i="11"/>
  <c r="O1367" i="11"/>
  <c r="J1367" i="11"/>
  <c r="T1366" i="11"/>
  <c r="S1366" i="11"/>
  <c r="O1366" i="11"/>
  <c r="J1366" i="11"/>
  <c r="T1365" i="11"/>
  <c r="S1365" i="11"/>
  <c r="O1365" i="11"/>
  <c r="J1365" i="11"/>
  <c r="T1364" i="11"/>
  <c r="S1364" i="11"/>
  <c r="O1364" i="11"/>
  <c r="J1364" i="11"/>
  <c r="R1363" i="11"/>
  <c r="O1363" i="11"/>
  <c r="T1362" i="11"/>
  <c r="S1362" i="11"/>
  <c r="O1362" i="11"/>
  <c r="J1362" i="11"/>
  <c r="N1362" i="11" s="1"/>
  <c r="T1361" i="11"/>
  <c r="S1361" i="11"/>
  <c r="O1361" i="11"/>
  <c r="J1361" i="11"/>
  <c r="T1360" i="11"/>
  <c r="S1360" i="11"/>
  <c r="O1360" i="11"/>
  <c r="J1360" i="11"/>
  <c r="T1359" i="11"/>
  <c r="S1359" i="11"/>
  <c r="O1359" i="11"/>
  <c r="J1359" i="11"/>
  <c r="T1358" i="11"/>
  <c r="S1358" i="11"/>
  <c r="O1358" i="11"/>
  <c r="J1358" i="11"/>
  <c r="R1357" i="11"/>
  <c r="O1357" i="11"/>
  <c r="F1357" i="11"/>
  <c r="T1356" i="11"/>
  <c r="S1356" i="11"/>
  <c r="O1356" i="11"/>
  <c r="J1356" i="11"/>
  <c r="T1355" i="11"/>
  <c r="S1355" i="11"/>
  <c r="O1355" i="11"/>
  <c r="J1355" i="11"/>
  <c r="T1354" i="11"/>
  <c r="S1354" i="11"/>
  <c r="O1354" i="11"/>
  <c r="J1354" i="11"/>
  <c r="N1354" i="11" s="1"/>
  <c r="T1353" i="11"/>
  <c r="S1353" i="11"/>
  <c r="O1353" i="11"/>
  <c r="J1353" i="11"/>
  <c r="T1352" i="11"/>
  <c r="S1352" i="11"/>
  <c r="O1352" i="11"/>
  <c r="J1352" i="11"/>
  <c r="R1351" i="11"/>
  <c r="O1351" i="11"/>
  <c r="F1351" i="11"/>
  <c r="T1350" i="11"/>
  <c r="S1350" i="11"/>
  <c r="O1350" i="11"/>
  <c r="J1350" i="11"/>
  <c r="N1350" i="11" s="1"/>
  <c r="T1349" i="11"/>
  <c r="S1349" i="11"/>
  <c r="O1349" i="11"/>
  <c r="J1349" i="11"/>
  <c r="T1348" i="11"/>
  <c r="S1348" i="11"/>
  <c r="O1348" i="11"/>
  <c r="J1348" i="11"/>
  <c r="T1347" i="11"/>
  <c r="S1347" i="11"/>
  <c r="O1347" i="11"/>
  <c r="J1347" i="11"/>
  <c r="T1346" i="11"/>
  <c r="S1346" i="11"/>
  <c r="O1346" i="11"/>
  <c r="J1346" i="11"/>
  <c r="N1346" i="11" s="1"/>
  <c r="R1345" i="11"/>
  <c r="O1345" i="11"/>
  <c r="F1345" i="11"/>
  <c r="T1344" i="11"/>
  <c r="S1344" i="11"/>
  <c r="O1344" i="11"/>
  <c r="J1344" i="11"/>
  <c r="T1343" i="11"/>
  <c r="S1343" i="11"/>
  <c r="O1343" i="11"/>
  <c r="J1343" i="11"/>
  <c r="T1342" i="11"/>
  <c r="S1342" i="11"/>
  <c r="O1342" i="11"/>
  <c r="J1342" i="11"/>
  <c r="N1342" i="11" s="1"/>
  <c r="T1341" i="11"/>
  <c r="S1341" i="11"/>
  <c r="O1341" i="11"/>
  <c r="J1341" i="11"/>
  <c r="T1340" i="11"/>
  <c r="S1340" i="11"/>
  <c r="O1340" i="11"/>
  <c r="J1340" i="11"/>
  <c r="R1339" i="11"/>
  <c r="O1339" i="11"/>
  <c r="T1338" i="11"/>
  <c r="S1338" i="11"/>
  <c r="O1338" i="11"/>
  <c r="J1338" i="11"/>
  <c r="T1337" i="11"/>
  <c r="S1337" i="11"/>
  <c r="O1337" i="11"/>
  <c r="J1337" i="11"/>
  <c r="T1336" i="11"/>
  <c r="S1336" i="11"/>
  <c r="O1336" i="11"/>
  <c r="J1336" i="11"/>
  <c r="T1335" i="11"/>
  <c r="S1335" i="11"/>
  <c r="O1335" i="11"/>
  <c r="J1335" i="11"/>
  <c r="T1334" i="11"/>
  <c r="S1334" i="11"/>
  <c r="O1334" i="11"/>
  <c r="J1334" i="11"/>
  <c r="R1333" i="11"/>
  <c r="O1333" i="11"/>
  <c r="T1332" i="11"/>
  <c r="S1332" i="11"/>
  <c r="O1332" i="11"/>
  <c r="J1332" i="11"/>
  <c r="T1331" i="11"/>
  <c r="S1331" i="11"/>
  <c r="O1331" i="11"/>
  <c r="J1331" i="11"/>
  <c r="T1330" i="11"/>
  <c r="S1330" i="11"/>
  <c r="O1330" i="11"/>
  <c r="J1330" i="11"/>
  <c r="N1330" i="11" s="1"/>
  <c r="T1329" i="11"/>
  <c r="S1329" i="11"/>
  <c r="O1329" i="11"/>
  <c r="J1329" i="11"/>
  <c r="T1328" i="11"/>
  <c r="S1328" i="11"/>
  <c r="O1328" i="11"/>
  <c r="J1328" i="11"/>
  <c r="R1327" i="11"/>
  <c r="O1327" i="11"/>
  <c r="T1326" i="11"/>
  <c r="S1326" i="11"/>
  <c r="O1326" i="11"/>
  <c r="J1326" i="11"/>
  <c r="T1325" i="11"/>
  <c r="S1325" i="11"/>
  <c r="O1325" i="11"/>
  <c r="J1325" i="11"/>
  <c r="T1324" i="11"/>
  <c r="S1324" i="11"/>
  <c r="O1324" i="11"/>
  <c r="J1324" i="11"/>
  <c r="T1323" i="11"/>
  <c r="S1323" i="11"/>
  <c r="O1323" i="11"/>
  <c r="J1323" i="11"/>
  <c r="T1322" i="11"/>
  <c r="S1322" i="11"/>
  <c r="O1322" i="11"/>
  <c r="J1322" i="11"/>
  <c r="R1321" i="11"/>
  <c r="O1321" i="11"/>
  <c r="T1320" i="11"/>
  <c r="S1320" i="11"/>
  <c r="O1320" i="11"/>
  <c r="J1320" i="11"/>
  <c r="T1319" i="11"/>
  <c r="S1319" i="11"/>
  <c r="O1319" i="11"/>
  <c r="J1319" i="11"/>
  <c r="T1318" i="11"/>
  <c r="S1318" i="11"/>
  <c r="O1318" i="11"/>
  <c r="J1318" i="11"/>
  <c r="N1318" i="11" s="1"/>
  <c r="T1317" i="11"/>
  <c r="S1317" i="11"/>
  <c r="O1317" i="11"/>
  <c r="J1317" i="11"/>
  <c r="T1316" i="11"/>
  <c r="S1316" i="11"/>
  <c r="O1316" i="11"/>
  <c r="J1316" i="11"/>
  <c r="T1314" i="11"/>
  <c r="S1314" i="11"/>
  <c r="O1314" i="11"/>
  <c r="J1314" i="11"/>
  <c r="G1314" i="11"/>
  <c r="T1313" i="11"/>
  <c r="S1313" i="11"/>
  <c r="O1313" i="11"/>
  <c r="J1313" i="11"/>
  <c r="G1313" i="11"/>
  <c r="T1312" i="11"/>
  <c r="S1312" i="11"/>
  <c r="O1312" i="11"/>
  <c r="J1312" i="11"/>
  <c r="G1312" i="11"/>
  <c r="T1311" i="11"/>
  <c r="S1311" i="11"/>
  <c r="O1311" i="11"/>
  <c r="J1311" i="11"/>
  <c r="G1311" i="11"/>
  <c r="R1310" i="11"/>
  <c r="Q1310" i="11"/>
  <c r="O1310" i="11"/>
  <c r="T1309" i="11"/>
  <c r="S1309" i="11"/>
  <c r="O1309" i="11"/>
  <c r="J1309" i="11"/>
  <c r="G1309" i="11"/>
  <c r="T1308" i="11"/>
  <c r="S1308" i="11"/>
  <c r="O1308" i="11"/>
  <c r="J1308" i="11"/>
  <c r="G1308" i="11"/>
  <c r="T1307" i="11"/>
  <c r="S1307" i="11"/>
  <c r="O1307" i="11"/>
  <c r="J1307" i="11"/>
  <c r="G1307" i="11"/>
  <c r="T1306" i="11"/>
  <c r="S1306" i="11"/>
  <c r="O1306" i="11"/>
  <c r="J1306" i="11"/>
  <c r="N1306" i="11" s="1"/>
  <c r="G1306" i="11"/>
  <c r="R1305" i="11"/>
  <c r="O1305" i="11"/>
  <c r="T1304" i="11"/>
  <c r="S1304" i="11"/>
  <c r="O1304" i="11"/>
  <c r="J1304" i="11"/>
  <c r="G1304" i="11"/>
  <c r="T1303" i="11"/>
  <c r="S1303" i="11"/>
  <c r="O1303" i="11"/>
  <c r="J1303" i="11"/>
  <c r="G1303" i="11"/>
  <c r="T1302" i="11"/>
  <c r="S1302" i="11"/>
  <c r="O1302" i="11"/>
  <c r="J1302" i="11"/>
  <c r="N1302" i="11" s="1"/>
  <c r="G1302" i="11"/>
  <c r="T1301" i="11"/>
  <c r="S1301" i="11"/>
  <c r="O1301" i="11"/>
  <c r="J1301" i="11"/>
  <c r="G1301" i="11"/>
  <c r="R1300" i="11"/>
  <c r="O1300" i="11"/>
  <c r="T1299" i="11"/>
  <c r="S1299" i="11"/>
  <c r="O1299" i="11"/>
  <c r="J1299" i="11"/>
  <c r="G1299" i="11"/>
  <c r="T1298" i="11"/>
  <c r="S1298" i="11"/>
  <c r="O1298" i="11"/>
  <c r="J1298" i="11"/>
  <c r="G1298" i="11"/>
  <c r="T1297" i="11"/>
  <c r="S1297" i="11"/>
  <c r="O1297" i="11"/>
  <c r="J1297" i="11"/>
  <c r="G1297" i="11"/>
  <c r="T1296" i="11"/>
  <c r="S1296" i="11"/>
  <c r="O1296" i="11"/>
  <c r="J1296" i="11"/>
  <c r="G1296" i="11"/>
  <c r="R1295" i="11"/>
  <c r="O1295" i="11"/>
  <c r="T1294" i="11"/>
  <c r="S1294" i="11"/>
  <c r="O1294" i="11"/>
  <c r="J1294" i="11"/>
  <c r="G1294" i="11"/>
  <c r="T1293" i="11"/>
  <c r="S1293" i="11"/>
  <c r="O1293" i="11"/>
  <c r="J1293" i="11"/>
  <c r="G1293" i="11"/>
  <c r="T1292" i="11"/>
  <c r="S1292" i="11"/>
  <c r="O1292" i="11"/>
  <c r="J1292" i="11"/>
  <c r="G1292" i="11"/>
  <c r="T1291" i="11"/>
  <c r="S1291" i="11"/>
  <c r="O1291" i="11"/>
  <c r="J1291" i="11"/>
  <c r="G1291" i="11"/>
  <c r="R1290" i="11"/>
  <c r="Q1290" i="11"/>
  <c r="O1290" i="11"/>
  <c r="T1289" i="11"/>
  <c r="S1289" i="11"/>
  <c r="O1289" i="11"/>
  <c r="J1289" i="11"/>
  <c r="G1289" i="11"/>
  <c r="T1288" i="11"/>
  <c r="S1288" i="11"/>
  <c r="O1288" i="11"/>
  <c r="J1288" i="11"/>
  <c r="G1288" i="11"/>
  <c r="T1287" i="11"/>
  <c r="S1287" i="11"/>
  <c r="O1287" i="11"/>
  <c r="J1287" i="11"/>
  <c r="G1287" i="11"/>
  <c r="T1286" i="11"/>
  <c r="S1286" i="11"/>
  <c r="O1286" i="11"/>
  <c r="J1286" i="11"/>
  <c r="N1286" i="11" s="1"/>
  <c r="G1286" i="11"/>
  <c r="R1285" i="11"/>
  <c r="O1285" i="11"/>
  <c r="T1284" i="11"/>
  <c r="S1284" i="11"/>
  <c r="O1284" i="11"/>
  <c r="J1284" i="11"/>
  <c r="G1284" i="11"/>
  <c r="T1283" i="11"/>
  <c r="S1283" i="11"/>
  <c r="O1283" i="11"/>
  <c r="J1283" i="11"/>
  <c r="G1283" i="11"/>
  <c r="T1282" i="11"/>
  <c r="S1282" i="11"/>
  <c r="O1282" i="11"/>
  <c r="J1282" i="11"/>
  <c r="G1282" i="11"/>
  <c r="T1281" i="11"/>
  <c r="S1281" i="11"/>
  <c r="O1281" i="11"/>
  <c r="J1281" i="11"/>
  <c r="G1281" i="11"/>
  <c r="R1280" i="11"/>
  <c r="O1280" i="11"/>
  <c r="T1279" i="11"/>
  <c r="S1279" i="11"/>
  <c r="O1279" i="11"/>
  <c r="J1279" i="11"/>
  <c r="G1279" i="11"/>
  <c r="T1278" i="11"/>
  <c r="S1278" i="11"/>
  <c r="O1278" i="11"/>
  <c r="J1278" i="11"/>
  <c r="N1278" i="11" s="1"/>
  <c r="G1278" i="11"/>
  <c r="T1277" i="11"/>
  <c r="S1277" i="11"/>
  <c r="O1277" i="11"/>
  <c r="J1277" i="11"/>
  <c r="G1277" i="11"/>
  <c r="T1276" i="11"/>
  <c r="S1276" i="11"/>
  <c r="O1276" i="11"/>
  <c r="J1276" i="11"/>
  <c r="G1276" i="11"/>
  <c r="R1275" i="11"/>
  <c r="O1275" i="11"/>
  <c r="T1274" i="11"/>
  <c r="S1274" i="11"/>
  <c r="O1274" i="11"/>
  <c r="J1274" i="11"/>
  <c r="N1274" i="11" s="1"/>
  <c r="G1274" i="11"/>
  <c r="T1273" i="11"/>
  <c r="S1273" i="11"/>
  <c r="O1273" i="11"/>
  <c r="J1273" i="11"/>
  <c r="G1273" i="11"/>
  <c r="T1272" i="11"/>
  <c r="S1272" i="11"/>
  <c r="O1272" i="11"/>
  <c r="J1272" i="11"/>
  <c r="G1272" i="11"/>
  <c r="T1271" i="11"/>
  <c r="S1271" i="11"/>
  <c r="O1271" i="11"/>
  <c r="J1271" i="11"/>
  <c r="G1271" i="11"/>
  <c r="R1270" i="11"/>
  <c r="O1270" i="11"/>
  <c r="T1269" i="11"/>
  <c r="S1269" i="11"/>
  <c r="O1269" i="11"/>
  <c r="J1269" i="11"/>
  <c r="G1269" i="11"/>
  <c r="T1268" i="11"/>
  <c r="S1268" i="11"/>
  <c r="O1268" i="11"/>
  <c r="J1268" i="11"/>
  <c r="G1268" i="11"/>
  <c r="T1267" i="11"/>
  <c r="S1267" i="11"/>
  <c r="O1267" i="11"/>
  <c r="J1267" i="11"/>
  <c r="N1267" i="11" s="1"/>
  <c r="G1267" i="11"/>
  <c r="T1266" i="11"/>
  <c r="S1266" i="11"/>
  <c r="O1266" i="11"/>
  <c r="J1266" i="11"/>
  <c r="G1266" i="11"/>
  <c r="R1265" i="11"/>
  <c r="O1265" i="11"/>
  <c r="T1264" i="11"/>
  <c r="S1264" i="11"/>
  <c r="O1264" i="11"/>
  <c r="J1264" i="11"/>
  <c r="N1264" i="11" s="1"/>
  <c r="G1264" i="11"/>
  <c r="T1263" i="11"/>
  <c r="S1263" i="11"/>
  <c r="O1263" i="11"/>
  <c r="J1263" i="11"/>
  <c r="G1263" i="11"/>
  <c r="T1262" i="11"/>
  <c r="S1262" i="11"/>
  <c r="O1262" i="11"/>
  <c r="J1262" i="11"/>
  <c r="N1262" i="11" s="1"/>
  <c r="G1262" i="11"/>
  <c r="T1261" i="11"/>
  <c r="S1261" i="11"/>
  <c r="O1261" i="11"/>
  <c r="J1261" i="11"/>
  <c r="G1261" i="11"/>
  <c r="R1260" i="11"/>
  <c r="O1260" i="11"/>
  <c r="T1259" i="11"/>
  <c r="S1259" i="11"/>
  <c r="O1259" i="11"/>
  <c r="J1259" i="11"/>
  <c r="G1259" i="11"/>
  <c r="T1258" i="11"/>
  <c r="S1258" i="11"/>
  <c r="O1258" i="11"/>
  <c r="J1258" i="11"/>
  <c r="N1258" i="11" s="1"/>
  <c r="G1258" i="11"/>
  <c r="T1257" i="11"/>
  <c r="S1257" i="11"/>
  <c r="O1257" i="11"/>
  <c r="J1257" i="11"/>
  <c r="G1257" i="11"/>
  <c r="R1256" i="11"/>
  <c r="Q1256" i="11"/>
  <c r="O1256" i="11"/>
  <c r="T1255" i="11"/>
  <c r="S1255" i="11"/>
  <c r="O1255" i="11"/>
  <c r="J1255" i="11"/>
  <c r="G1255" i="11"/>
  <c r="T1254" i="11"/>
  <c r="S1254" i="11"/>
  <c r="O1254" i="11"/>
  <c r="J1254" i="11"/>
  <c r="N1254" i="11" s="1"/>
  <c r="G1254" i="11"/>
  <c r="T1253" i="11"/>
  <c r="S1253" i="11"/>
  <c r="O1253" i="11"/>
  <c r="J1253" i="11"/>
  <c r="G1253" i="11"/>
  <c r="R1252" i="11"/>
  <c r="O1252" i="11"/>
  <c r="T1251" i="11"/>
  <c r="S1251" i="11"/>
  <c r="O1251" i="11"/>
  <c r="J1251" i="11"/>
  <c r="G1251" i="11"/>
  <c r="T1250" i="11"/>
  <c r="S1250" i="11"/>
  <c r="O1250" i="11"/>
  <c r="J1250" i="11"/>
  <c r="N1250" i="11" s="1"/>
  <c r="G1250" i="11"/>
  <c r="T1249" i="11"/>
  <c r="S1249" i="11"/>
  <c r="O1249" i="11"/>
  <c r="J1249" i="11"/>
  <c r="G1249" i="11"/>
  <c r="R1248" i="11"/>
  <c r="Q1248" i="11"/>
  <c r="O1248" i="11"/>
  <c r="T1247" i="11"/>
  <c r="S1247" i="11"/>
  <c r="O1247" i="11"/>
  <c r="J1247" i="11"/>
  <c r="G1247" i="11"/>
  <c r="T1246" i="11"/>
  <c r="S1246" i="11"/>
  <c r="O1246" i="11"/>
  <c r="J1246" i="11"/>
  <c r="N1246" i="11" s="1"/>
  <c r="G1246" i="11"/>
  <c r="T1245" i="11"/>
  <c r="S1245" i="11"/>
  <c r="O1245" i="11"/>
  <c r="J1245" i="11"/>
  <c r="G1245" i="11"/>
  <c r="R1244" i="11"/>
  <c r="O1244" i="11"/>
  <c r="T1243" i="11"/>
  <c r="S1243" i="11"/>
  <c r="O1243" i="11"/>
  <c r="J1243" i="11"/>
  <c r="G1243" i="11"/>
  <c r="T1242" i="11"/>
  <c r="S1242" i="11"/>
  <c r="O1242" i="11"/>
  <c r="J1242" i="11"/>
  <c r="N1242" i="11" s="1"/>
  <c r="G1242" i="11"/>
  <c r="T1241" i="11"/>
  <c r="S1241" i="11"/>
  <c r="O1241" i="11"/>
  <c r="J1241" i="11"/>
  <c r="G1241" i="11"/>
  <c r="R1240" i="11"/>
  <c r="Q1240" i="11"/>
  <c r="O1240" i="11"/>
  <c r="T1239" i="11"/>
  <c r="S1239" i="11"/>
  <c r="O1239" i="11"/>
  <c r="J1239" i="11"/>
  <c r="G1239" i="11"/>
  <c r="T1238" i="11"/>
  <c r="S1238" i="11"/>
  <c r="O1238" i="11"/>
  <c r="J1238" i="11"/>
  <c r="N1238" i="11" s="1"/>
  <c r="G1238" i="11"/>
  <c r="T1237" i="11"/>
  <c r="S1237" i="11"/>
  <c r="O1237" i="11"/>
  <c r="J1237" i="11"/>
  <c r="G1237" i="11"/>
  <c r="R1236" i="11"/>
  <c r="O1236" i="11"/>
  <c r="T1235" i="11"/>
  <c r="S1235" i="11"/>
  <c r="O1235" i="11"/>
  <c r="J1235" i="11"/>
  <c r="G1235" i="11"/>
  <c r="T1234" i="11"/>
  <c r="S1234" i="11"/>
  <c r="O1234" i="11"/>
  <c r="J1234" i="11"/>
  <c r="N1234" i="11" s="1"/>
  <c r="G1234" i="11"/>
  <c r="T1233" i="11"/>
  <c r="S1233" i="11"/>
  <c r="O1233" i="11"/>
  <c r="J1233" i="11"/>
  <c r="G1233" i="11"/>
  <c r="R1232" i="11"/>
  <c r="O1232" i="11"/>
  <c r="T1231" i="11"/>
  <c r="S1231" i="11"/>
  <c r="O1231" i="11"/>
  <c r="J1231" i="11"/>
  <c r="G1231" i="11"/>
  <c r="T1230" i="11"/>
  <c r="S1230" i="11"/>
  <c r="O1230" i="11"/>
  <c r="J1230" i="11"/>
  <c r="G1230" i="11"/>
  <c r="T1229" i="11"/>
  <c r="S1229" i="11"/>
  <c r="O1229" i="11"/>
  <c r="J1229" i="11"/>
  <c r="G1229" i="11"/>
  <c r="R1228" i="11"/>
  <c r="O1228" i="11"/>
  <c r="T1227" i="11"/>
  <c r="S1227" i="11"/>
  <c r="O1227" i="11"/>
  <c r="J1227" i="11"/>
  <c r="G1227" i="11"/>
  <c r="T1226" i="11"/>
  <c r="S1226" i="11"/>
  <c r="O1226" i="11"/>
  <c r="J1226" i="11"/>
  <c r="N1226" i="11" s="1"/>
  <c r="G1226" i="11"/>
  <c r="T1225" i="11"/>
  <c r="S1225" i="11"/>
  <c r="O1225" i="11"/>
  <c r="J1225" i="11"/>
  <c r="G1225" i="11"/>
  <c r="R1224" i="11"/>
  <c r="O1224" i="11"/>
  <c r="T1223" i="11"/>
  <c r="S1223" i="11"/>
  <c r="O1223" i="11"/>
  <c r="J1223" i="11"/>
  <c r="G1223" i="11"/>
  <c r="T1222" i="11"/>
  <c r="S1222" i="11"/>
  <c r="O1222" i="11"/>
  <c r="J1222" i="11"/>
  <c r="N1222" i="11" s="1"/>
  <c r="G1222" i="11"/>
  <c r="T1221" i="11"/>
  <c r="S1221" i="11"/>
  <c r="O1221" i="11"/>
  <c r="J1221" i="11"/>
  <c r="G1221" i="11"/>
  <c r="R1220" i="11"/>
  <c r="O1220" i="11"/>
  <c r="T1219" i="11"/>
  <c r="S1219" i="11"/>
  <c r="O1219" i="11"/>
  <c r="J1219" i="11"/>
  <c r="N1219" i="11" s="1"/>
  <c r="G1219" i="11"/>
  <c r="T1218" i="11"/>
  <c r="S1218" i="11"/>
  <c r="O1218" i="11"/>
  <c r="J1218" i="11"/>
  <c r="G1218" i="11"/>
  <c r="T1217" i="11"/>
  <c r="S1217" i="11"/>
  <c r="O1217" i="11"/>
  <c r="J1217" i="11"/>
  <c r="G1217" i="11"/>
  <c r="R1216" i="11"/>
  <c r="O1216" i="11"/>
  <c r="T1215" i="11"/>
  <c r="S1215" i="11"/>
  <c r="O1215" i="11"/>
  <c r="J1215" i="11"/>
  <c r="G1215" i="11"/>
  <c r="T1214" i="11"/>
  <c r="S1214" i="11"/>
  <c r="O1214" i="11"/>
  <c r="J1214" i="11"/>
  <c r="N1214" i="11" s="1"/>
  <c r="G1214" i="11"/>
  <c r="T1213" i="11"/>
  <c r="S1213" i="11"/>
  <c r="O1213" i="11"/>
  <c r="J1213" i="11"/>
  <c r="G1213" i="11"/>
  <c r="R1212" i="11"/>
  <c r="O1212" i="11"/>
  <c r="T1211" i="11"/>
  <c r="S1211" i="11"/>
  <c r="O1211" i="11"/>
  <c r="J1211" i="11"/>
  <c r="G1211" i="11"/>
  <c r="T1210" i="11"/>
  <c r="S1210" i="11"/>
  <c r="O1210" i="11"/>
  <c r="J1210" i="11"/>
  <c r="N1210" i="11" s="1"/>
  <c r="G1210" i="11"/>
  <c r="T1209" i="11"/>
  <c r="S1209" i="11"/>
  <c r="O1209" i="11"/>
  <c r="J1209" i="11"/>
  <c r="G1209" i="11"/>
  <c r="R1208" i="11"/>
  <c r="O1208" i="11"/>
  <c r="T1207" i="11"/>
  <c r="S1207" i="11"/>
  <c r="O1207" i="11"/>
  <c r="J1207" i="11"/>
  <c r="G1207" i="11"/>
  <c r="T1206" i="11"/>
  <c r="S1206" i="11"/>
  <c r="O1206" i="11"/>
  <c r="J1206" i="11"/>
  <c r="G1206" i="11"/>
  <c r="T1205" i="11"/>
  <c r="S1205" i="11"/>
  <c r="O1205" i="11"/>
  <c r="J1205" i="11"/>
  <c r="G1205" i="11"/>
  <c r="R1204" i="11"/>
  <c r="O1204" i="11"/>
  <c r="T1203" i="11"/>
  <c r="S1203" i="11"/>
  <c r="O1203" i="11"/>
  <c r="J1203" i="11"/>
  <c r="G1203" i="11"/>
  <c r="T1202" i="11"/>
  <c r="S1202" i="11"/>
  <c r="O1202" i="11"/>
  <c r="J1202" i="11"/>
  <c r="N1202" i="11" s="1"/>
  <c r="G1202" i="11"/>
  <c r="T1201" i="11"/>
  <c r="S1201" i="11"/>
  <c r="O1201" i="11"/>
  <c r="J1201" i="11"/>
  <c r="G1201" i="11"/>
  <c r="R1200" i="11"/>
  <c r="O1200" i="11"/>
  <c r="T1199" i="11"/>
  <c r="S1199" i="11"/>
  <c r="O1199" i="11"/>
  <c r="J1199" i="11"/>
  <c r="G1199" i="11"/>
  <c r="T1198" i="11"/>
  <c r="S1198" i="11"/>
  <c r="O1198" i="11"/>
  <c r="J1198" i="11"/>
  <c r="N1198" i="11" s="1"/>
  <c r="G1198" i="11"/>
  <c r="T1197" i="11"/>
  <c r="S1197" i="11"/>
  <c r="O1197" i="11"/>
  <c r="J1197" i="11"/>
  <c r="G1197" i="11"/>
  <c r="R1196" i="11"/>
  <c r="O1196" i="11"/>
  <c r="T1195" i="11"/>
  <c r="S1195" i="11"/>
  <c r="O1195" i="11"/>
  <c r="J1195" i="11"/>
  <c r="N1195" i="11" s="1"/>
  <c r="G1195" i="11"/>
  <c r="T1194" i="11"/>
  <c r="S1194" i="11"/>
  <c r="O1194" i="11"/>
  <c r="J1194" i="11"/>
  <c r="G1194" i="11"/>
  <c r="T1193" i="11"/>
  <c r="S1193" i="11"/>
  <c r="O1193" i="11"/>
  <c r="J1193" i="11"/>
  <c r="G1193" i="11"/>
  <c r="R1192" i="11"/>
  <c r="O1192" i="11"/>
  <c r="T1191" i="11"/>
  <c r="S1191" i="11"/>
  <c r="O1191" i="11"/>
  <c r="J1191" i="11"/>
  <c r="G1191" i="11"/>
  <c r="T1190" i="11"/>
  <c r="S1190" i="11"/>
  <c r="O1190" i="11"/>
  <c r="J1190" i="11"/>
  <c r="N1190" i="11" s="1"/>
  <c r="G1190" i="11"/>
  <c r="T1189" i="11"/>
  <c r="S1189" i="11"/>
  <c r="O1189" i="11"/>
  <c r="J1189" i="11"/>
  <c r="G1189" i="11"/>
  <c r="R1188" i="11"/>
  <c r="O1188" i="11"/>
  <c r="T1187" i="11"/>
  <c r="S1187" i="11"/>
  <c r="O1187" i="11"/>
  <c r="J1187" i="11"/>
  <c r="N1187" i="11" s="1"/>
  <c r="G1187" i="11"/>
  <c r="T1186" i="11"/>
  <c r="S1186" i="11"/>
  <c r="O1186" i="11"/>
  <c r="J1186" i="11"/>
  <c r="G1186" i="11"/>
  <c r="T1185" i="11"/>
  <c r="S1185" i="11"/>
  <c r="O1185" i="11"/>
  <c r="J1185" i="11"/>
  <c r="G1185" i="11"/>
  <c r="R1184" i="11"/>
  <c r="O1184" i="11"/>
  <c r="T1183" i="11"/>
  <c r="S1183" i="11"/>
  <c r="O1183" i="11"/>
  <c r="J1183" i="11"/>
  <c r="G1183" i="11"/>
  <c r="T1182" i="11"/>
  <c r="S1182" i="11"/>
  <c r="O1182" i="11"/>
  <c r="J1182" i="11"/>
  <c r="G1182" i="11"/>
  <c r="T1181" i="11"/>
  <c r="S1181" i="11"/>
  <c r="O1181" i="11"/>
  <c r="J1181" i="11"/>
  <c r="G1181" i="11"/>
  <c r="R1180" i="11"/>
  <c r="O1180" i="11"/>
  <c r="T1179" i="11"/>
  <c r="S1179" i="11"/>
  <c r="O1179" i="11"/>
  <c r="J1179" i="11"/>
  <c r="G1179" i="11"/>
  <c r="T1178" i="11"/>
  <c r="S1178" i="11"/>
  <c r="O1178" i="11"/>
  <c r="J1178" i="11"/>
  <c r="N1178" i="11" s="1"/>
  <c r="G1178" i="11"/>
  <c r="T1177" i="11"/>
  <c r="S1177" i="11"/>
  <c r="O1177" i="11"/>
  <c r="J1177" i="11"/>
  <c r="G1177" i="11"/>
  <c r="R1176" i="11"/>
  <c r="O1176" i="11"/>
  <c r="T1175" i="11"/>
  <c r="S1175" i="11"/>
  <c r="O1175" i="11"/>
  <c r="J1175" i="11"/>
  <c r="G1175" i="11"/>
  <c r="T1174" i="11"/>
  <c r="S1174" i="11"/>
  <c r="O1174" i="11"/>
  <c r="J1174" i="11"/>
  <c r="N1174" i="11" s="1"/>
  <c r="G1174" i="11"/>
  <c r="T1173" i="11"/>
  <c r="S1173" i="11"/>
  <c r="O1173" i="11"/>
  <c r="J1173" i="11"/>
  <c r="G1173" i="11"/>
  <c r="R1172" i="11"/>
  <c r="O1172" i="11"/>
  <c r="T1171" i="11"/>
  <c r="S1171" i="11"/>
  <c r="O1171" i="11"/>
  <c r="J1171" i="11"/>
  <c r="G1171" i="11"/>
  <c r="T1170" i="11"/>
  <c r="S1170" i="11"/>
  <c r="O1170" i="11"/>
  <c r="J1170" i="11"/>
  <c r="G1170" i="11"/>
  <c r="T1169" i="11"/>
  <c r="S1169" i="11"/>
  <c r="O1169" i="11"/>
  <c r="J1169" i="11"/>
  <c r="G1169" i="11"/>
  <c r="R1168" i="11"/>
  <c r="O1168" i="11"/>
  <c r="T1167" i="11"/>
  <c r="S1167" i="11"/>
  <c r="O1167" i="11"/>
  <c r="J1167" i="11"/>
  <c r="G1167" i="11"/>
  <c r="T1166" i="11"/>
  <c r="S1166" i="11"/>
  <c r="O1166" i="11"/>
  <c r="J1166" i="11"/>
  <c r="N1166" i="11" s="1"/>
  <c r="G1166" i="11"/>
  <c r="T1165" i="11"/>
  <c r="S1165" i="11"/>
  <c r="O1165" i="11"/>
  <c r="J1165" i="11"/>
  <c r="G1165" i="11"/>
  <c r="R1164" i="11"/>
  <c r="O1164" i="11"/>
  <c r="T1163" i="11"/>
  <c r="S1163" i="11"/>
  <c r="O1163" i="11"/>
  <c r="J1163" i="11"/>
  <c r="G1163" i="11"/>
  <c r="T1162" i="11"/>
  <c r="S1162" i="11"/>
  <c r="O1162" i="11"/>
  <c r="J1162" i="11"/>
  <c r="G1162" i="11"/>
  <c r="T1161" i="11"/>
  <c r="S1161" i="11"/>
  <c r="O1161" i="11"/>
  <c r="J1161" i="11"/>
  <c r="G1161" i="11"/>
  <c r="R1160" i="11"/>
  <c r="T1159" i="11"/>
  <c r="S1159" i="11"/>
  <c r="O1159" i="11"/>
  <c r="J1159" i="11"/>
  <c r="G1159" i="11"/>
  <c r="T1158" i="11"/>
  <c r="S1158" i="11"/>
  <c r="O1158" i="11"/>
  <c r="J1158" i="11"/>
  <c r="N1158" i="11" s="1"/>
  <c r="G1158" i="11"/>
  <c r="T1157" i="11"/>
  <c r="S1157" i="11"/>
  <c r="O1157" i="11"/>
  <c r="J1157" i="11"/>
  <c r="G1157" i="11"/>
  <c r="R1156" i="11"/>
  <c r="O1156" i="11"/>
  <c r="T1155" i="11"/>
  <c r="S1155" i="11"/>
  <c r="O1155" i="11"/>
  <c r="J1155" i="11"/>
  <c r="G1155" i="11"/>
  <c r="T1154" i="11"/>
  <c r="S1154" i="11"/>
  <c r="O1154" i="11"/>
  <c r="J1154" i="11"/>
  <c r="N1154" i="11" s="1"/>
  <c r="G1154" i="11"/>
  <c r="T1153" i="11"/>
  <c r="S1153" i="11"/>
  <c r="O1153" i="11"/>
  <c r="J1153" i="11"/>
  <c r="G1153" i="11"/>
  <c r="R1152" i="11"/>
  <c r="O1152" i="11"/>
  <c r="T1151" i="11"/>
  <c r="S1151" i="11"/>
  <c r="O1151" i="11"/>
  <c r="J1151" i="11"/>
  <c r="G1151" i="11"/>
  <c r="T1150" i="11"/>
  <c r="S1150" i="11"/>
  <c r="O1150" i="11"/>
  <c r="J1150" i="11"/>
  <c r="G1150" i="11"/>
  <c r="T1149" i="11"/>
  <c r="S1149" i="11"/>
  <c r="O1149" i="11"/>
  <c r="J1149" i="11"/>
  <c r="G1149" i="11"/>
  <c r="R1148" i="11"/>
  <c r="O1148" i="11"/>
  <c r="T1147" i="11"/>
  <c r="S1147" i="11"/>
  <c r="O1147" i="11"/>
  <c r="J1147" i="11"/>
  <c r="G1147" i="11"/>
  <c r="T1146" i="11"/>
  <c r="S1146" i="11"/>
  <c r="O1146" i="11"/>
  <c r="J1146" i="11"/>
  <c r="G1146" i="11"/>
  <c r="T1145" i="11"/>
  <c r="S1145" i="11"/>
  <c r="O1145" i="11"/>
  <c r="J1145" i="11"/>
  <c r="G1145" i="11"/>
  <c r="R1144" i="11"/>
  <c r="O1144" i="11"/>
  <c r="T1143" i="11"/>
  <c r="S1143" i="11"/>
  <c r="O1143" i="11"/>
  <c r="J1143" i="11"/>
  <c r="G1143" i="11"/>
  <c r="T1142" i="11"/>
  <c r="S1142" i="11"/>
  <c r="O1142" i="11"/>
  <c r="J1142" i="11"/>
  <c r="N1142" i="11" s="1"/>
  <c r="G1142" i="11"/>
  <c r="T1141" i="11"/>
  <c r="S1141" i="11"/>
  <c r="O1141" i="11"/>
  <c r="J1141" i="11"/>
  <c r="G1141" i="11"/>
  <c r="R1140" i="11"/>
  <c r="O1140" i="11"/>
  <c r="T1139" i="11"/>
  <c r="S1139" i="11"/>
  <c r="O1139" i="11"/>
  <c r="G1139" i="11"/>
  <c r="T1138" i="11"/>
  <c r="S1138" i="11"/>
  <c r="O1138" i="11"/>
  <c r="G1138" i="11"/>
  <c r="T1137" i="11"/>
  <c r="S1137" i="11"/>
  <c r="O1137" i="11"/>
  <c r="G1137" i="11"/>
  <c r="R1136" i="11"/>
  <c r="O1136" i="11"/>
  <c r="T1135" i="11"/>
  <c r="S1135" i="11"/>
  <c r="O1135" i="11"/>
  <c r="G1135" i="11"/>
  <c r="T1134" i="11"/>
  <c r="S1134" i="11"/>
  <c r="O1134" i="11"/>
  <c r="G1134" i="11"/>
  <c r="T1133" i="11"/>
  <c r="S1133" i="11"/>
  <c r="O1133" i="11"/>
  <c r="G1133" i="11"/>
  <c r="R1132" i="11"/>
  <c r="O1132" i="11"/>
  <c r="T1131" i="11"/>
  <c r="S1131" i="11"/>
  <c r="O1131" i="11"/>
  <c r="G1131" i="11"/>
  <c r="T1130" i="11"/>
  <c r="S1130" i="11"/>
  <c r="O1130" i="11"/>
  <c r="G1130" i="11"/>
  <c r="T1129" i="11"/>
  <c r="S1129" i="11"/>
  <c r="O1129" i="11"/>
  <c r="G1129" i="11"/>
  <c r="R1128" i="11"/>
  <c r="O1128" i="11"/>
  <c r="T1127" i="11"/>
  <c r="S1127" i="11"/>
  <c r="O1127" i="11"/>
  <c r="G1127" i="11"/>
  <c r="T1126" i="11"/>
  <c r="S1126" i="11"/>
  <c r="O1126" i="11"/>
  <c r="G1126" i="11"/>
  <c r="T1125" i="11"/>
  <c r="S1125" i="11"/>
  <c r="O1125" i="11"/>
  <c r="G1125" i="11"/>
  <c r="R1124" i="11"/>
  <c r="O1124" i="11"/>
  <c r="T1123" i="11"/>
  <c r="S1123" i="11"/>
  <c r="O1123" i="11"/>
  <c r="G1123" i="11"/>
  <c r="T1122" i="11"/>
  <c r="S1122" i="11"/>
  <c r="O1122" i="11"/>
  <c r="G1122" i="11"/>
  <c r="T1121" i="11"/>
  <c r="S1121" i="11"/>
  <c r="O1121" i="11"/>
  <c r="G1121" i="11"/>
  <c r="R1120" i="11"/>
  <c r="O1120" i="11"/>
  <c r="T1119" i="11"/>
  <c r="S1119" i="11"/>
  <c r="O1119" i="11"/>
  <c r="G1119" i="11"/>
  <c r="T1118" i="11"/>
  <c r="S1118" i="11"/>
  <c r="O1118" i="11"/>
  <c r="G1118" i="11"/>
  <c r="T1117" i="11"/>
  <c r="S1117" i="11"/>
  <c r="O1117" i="11"/>
  <c r="G1117" i="11"/>
  <c r="R1116" i="11"/>
  <c r="O1116" i="11"/>
  <c r="T1115" i="11"/>
  <c r="S1115" i="11"/>
  <c r="O1115" i="11"/>
  <c r="G1115" i="11"/>
  <c r="T1114" i="11"/>
  <c r="S1114" i="11"/>
  <c r="O1114" i="11"/>
  <c r="G1114" i="11"/>
  <c r="T1113" i="11"/>
  <c r="S1113" i="11"/>
  <c r="O1113" i="11"/>
  <c r="G1113" i="11"/>
  <c r="R1112" i="11"/>
  <c r="O1112" i="11"/>
  <c r="T1111" i="11"/>
  <c r="S1111" i="11"/>
  <c r="O1111" i="11"/>
  <c r="G1111" i="11"/>
  <c r="T1110" i="11"/>
  <c r="S1110" i="11"/>
  <c r="O1110" i="11"/>
  <c r="G1110" i="11"/>
  <c r="T1109" i="11"/>
  <c r="S1109" i="11"/>
  <c r="O1109" i="11"/>
  <c r="G1109" i="11"/>
  <c r="R1108" i="11"/>
  <c r="O1108" i="11"/>
  <c r="T1107" i="11"/>
  <c r="S1107" i="11"/>
  <c r="O1107" i="11"/>
  <c r="G1107" i="11"/>
  <c r="T1106" i="11"/>
  <c r="S1106" i="11"/>
  <c r="O1106" i="11"/>
  <c r="G1106" i="11"/>
  <c r="T1105" i="11"/>
  <c r="S1105" i="11"/>
  <c r="O1105" i="11"/>
  <c r="G1105" i="11"/>
  <c r="R1104" i="11"/>
  <c r="O1104" i="11"/>
  <c r="T1103" i="11"/>
  <c r="S1103" i="11"/>
  <c r="O1103" i="11"/>
  <c r="G1103" i="11"/>
  <c r="T1102" i="11"/>
  <c r="S1102" i="11"/>
  <c r="O1102" i="11"/>
  <c r="G1102" i="11"/>
  <c r="T1101" i="11"/>
  <c r="S1101" i="11"/>
  <c r="O1101" i="11"/>
  <c r="G1101" i="11"/>
  <c r="R1100" i="11"/>
  <c r="O1100" i="11"/>
  <c r="T1099" i="11"/>
  <c r="S1099" i="11"/>
  <c r="O1099" i="11"/>
  <c r="G1099" i="11"/>
  <c r="T1098" i="11"/>
  <c r="S1098" i="11"/>
  <c r="O1098" i="11"/>
  <c r="G1098" i="11"/>
  <c r="T1097" i="11"/>
  <c r="S1097" i="11"/>
  <c r="O1097" i="11"/>
  <c r="G1097" i="11"/>
  <c r="R1096" i="11"/>
  <c r="O1096" i="11"/>
  <c r="T1095" i="11"/>
  <c r="S1095" i="11"/>
  <c r="O1095" i="11"/>
  <c r="G1095" i="11"/>
  <c r="T1094" i="11"/>
  <c r="S1094" i="11"/>
  <c r="O1094" i="11"/>
  <c r="G1094" i="11"/>
  <c r="T1093" i="11"/>
  <c r="S1093" i="11"/>
  <c r="O1093" i="11"/>
  <c r="G1093" i="11"/>
  <c r="R1092" i="11"/>
  <c r="O1092" i="11"/>
  <c r="T1091" i="11"/>
  <c r="S1091" i="11"/>
  <c r="O1091" i="11"/>
  <c r="G1091" i="11"/>
  <c r="T1090" i="11"/>
  <c r="S1090" i="11"/>
  <c r="O1090" i="11"/>
  <c r="G1090" i="11"/>
  <c r="T1089" i="11"/>
  <c r="S1089" i="11"/>
  <c r="O1089" i="11"/>
  <c r="G1089" i="11"/>
  <c r="R1088" i="11"/>
  <c r="O1088" i="11"/>
  <c r="T1087" i="11"/>
  <c r="S1087" i="11"/>
  <c r="O1087" i="11"/>
  <c r="G1087" i="11"/>
  <c r="T1086" i="11"/>
  <c r="S1086" i="11"/>
  <c r="O1086" i="11"/>
  <c r="G1086" i="11"/>
  <c r="T1085" i="11"/>
  <c r="S1085" i="11"/>
  <c r="O1085" i="11"/>
  <c r="G1085" i="11"/>
  <c r="R1084" i="11"/>
  <c r="O1084" i="11"/>
  <c r="T1083" i="11"/>
  <c r="S1083" i="11"/>
  <c r="O1083" i="11"/>
  <c r="G1083" i="11"/>
  <c r="T1082" i="11"/>
  <c r="S1082" i="11"/>
  <c r="O1082" i="11"/>
  <c r="G1082" i="11"/>
  <c r="T1081" i="11"/>
  <c r="S1081" i="11"/>
  <c r="O1081" i="11"/>
  <c r="G1081" i="11"/>
  <c r="R1080" i="11"/>
  <c r="O1080" i="11"/>
  <c r="T1079" i="11"/>
  <c r="S1079" i="11"/>
  <c r="O1079" i="11"/>
  <c r="G1079" i="11"/>
  <c r="T1078" i="11"/>
  <c r="S1078" i="11"/>
  <c r="O1078" i="11"/>
  <c r="G1078" i="11"/>
  <c r="T1077" i="11"/>
  <c r="S1077" i="11"/>
  <c r="O1077" i="11"/>
  <c r="G1077" i="11"/>
  <c r="R1076" i="11"/>
  <c r="O1076" i="11"/>
  <c r="T1075" i="11"/>
  <c r="S1075" i="11"/>
  <c r="O1075" i="11"/>
  <c r="G1075" i="11"/>
  <c r="T1074" i="11"/>
  <c r="S1074" i="11"/>
  <c r="O1074" i="11"/>
  <c r="G1074" i="11"/>
  <c r="T1073" i="11"/>
  <c r="S1073" i="11"/>
  <c r="O1073" i="11"/>
  <c r="G1073" i="11"/>
  <c r="R1072" i="11"/>
  <c r="O1072" i="11"/>
  <c r="T1071" i="11"/>
  <c r="S1071" i="11"/>
  <c r="O1071" i="11"/>
  <c r="G1071" i="11"/>
  <c r="T1070" i="11"/>
  <c r="S1070" i="11"/>
  <c r="O1070" i="11"/>
  <c r="G1070" i="11"/>
  <c r="T1069" i="11"/>
  <c r="S1069" i="11"/>
  <c r="O1069" i="11"/>
  <c r="G1069" i="11"/>
  <c r="R1068" i="11"/>
  <c r="O1068" i="11"/>
  <c r="T1067" i="11"/>
  <c r="S1067" i="11"/>
  <c r="O1067" i="11"/>
  <c r="G1067" i="11"/>
  <c r="T1066" i="11"/>
  <c r="S1066" i="11"/>
  <c r="O1066" i="11"/>
  <c r="G1066" i="11"/>
  <c r="T1065" i="11"/>
  <c r="S1065" i="11"/>
  <c r="O1065" i="11"/>
  <c r="G1065" i="11"/>
  <c r="R1064" i="11"/>
  <c r="Q1064" i="11"/>
  <c r="O1064" i="11"/>
  <c r="T1063" i="11"/>
  <c r="S1063" i="11"/>
  <c r="O1063" i="11"/>
  <c r="G1063" i="11"/>
  <c r="T1062" i="11"/>
  <c r="S1062" i="11"/>
  <c r="O1062" i="11"/>
  <c r="G1062" i="11"/>
  <c r="T1061" i="11"/>
  <c r="S1061" i="11"/>
  <c r="O1061" i="11"/>
  <c r="G1061" i="11"/>
  <c r="R1060" i="11"/>
  <c r="O1060" i="11"/>
  <c r="T1059" i="11"/>
  <c r="S1059" i="11"/>
  <c r="O1059" i="11"/>
  <c r="G1059" i="11"/>
  <c r="T1058" i="11"/>
  <c r="S1058" i="11"/>
  <c r="O1058" i="11"/>
  <c r="G1058" i="11"/>
  <c r="T1057" i="11"/>
  <c r="S1057" i="11"/>
  <c r="O1057" i="11"/>
  <c r="G1057" i="11"/>
  <c r="R1056" i="11"/>
  <c r="O1056" i="11"/>
  <c r="T1055" i="11"/>
  <c r="S1055" i="11"/>
  <c r="O1055" i="11"/>
  <c r="G1055" i="11"/>
  <c r="T1054" i="11"/>
  <c r="S1054" i="11"/>
  <c r="O1054" i="11"/>
  <c r="G1054" i="11"/>
  <c r="T1053" i="11"/>
  <c r="S1053" i="11"/>
  <c r="O1053" i="11"/>
  <c r="G1053" i="11"/>
  <c r="T1052" i="11"/>
  <c r="S1052" i="11"/>
  <c r="O1052" i="11"/>
  <c r="G1052" i="11"/>
  <c r="R1051" i="11"/>
  <c r="O1051" i="11"/>
  <c r="T1050" i="11"/>
  <c r="S1050" i="11"/>
  <c r="O1050" i="11"/>
  <c r="G1050" i="11"/>
  <c r="T1049" i="11"/>
  <c r="S1049" i="11"/>
  <c r="O1049" i="11"/>
  <c r="G1049" i="11"/>
  <c r="T1048" i="11"/>
  <c r="S1048" i="11"/>
  <c r="O1048" i="11"/>
  <c r="G1048" i="11"/>
  <c r="G1047" i="11" s="1"/>
  <c r="I1047" i="11" s="1"/>
  <c r="R1047" i="11"/>
  <c r="O1047" i="11"/>
  <c r="T1046" i="11"/>
  <c r="S1046" i="11"/>
  <c r="O1046" i="11"/>
  <c r="J1046" i="11"/>
  <c r="G1046" i="11"/>
  <c r="T1045" i="11"/>
  <c r="S1045" i="11"/>
  <c r="O1045" i="11"/>
  <c r="J1045" i="11"/>
  <c r="N1045" i="11" s="1"/>
  <c r="G1045" i="11"/>
  <c r="T1044" i="11"/>
  <c r="S1044" i="11"/>
  <c r="O1044" i="11"/>
  <c r="J1044" i="11"/>
  <c r="G1044" i="11"/>
  <c r="R1043" i="11"/>
  <c r="O1043" i="11"/>
  <c r="T1042" i="11"/>
  <c r="S1042" i="11"/>
  <c r="O1042" i="11"/>
  <c r="J1042" i="11"/>
  <c r="N1042" i="11" s="1"/>
  <c r="G1042" i="11"/>
  <c r="T1041" i="11"/>
  <c r="S1041" i="11"/>
  <c r="O1041" i="11"/>
  <c r="J1041" i="11"/>
  <c r="G1041" i="11"/>
  <c r="T1040" i="11"/>
  <c r="S1040" i="11"/>
  <c r="O1040" i="11"/>
  <c r="J1040" i="11"/>
  <c r="G1040" i="11"/>
  <c r="R1039" i="11"/>
  <c r="O1039" i="11"/>
  <c r="T1038" i="11"/>
  <c r="S1038" i="11"/>
  <c r="O1038" i="11"/>
  <c r="J1038" i="11"/>
  <c r="N1038" i="11" s="1"/>
  <c r="G1038" i="11"/>
  <c r="T1037" i="11"/>
  <c r="S1037" i="11"/>
  <c r="O1037" i="11"/>
  <c r="J1037" i="11"/>
  <c r="N1037" i="11" s="1"/>
  <c r="G1037" i="11"/>
  <c r="T1036" i="11"/>
  <c r="S1036" i="11"/>
  <c r="O1036" i="11"/>
  <c r="J1036" i="11"/>
  <c r="G1036" i="11"/>
  <c r="R1035" i="11"/>
  <c r="O1035" i="11"/>
  <c r="T1034" i="11"/>
  <c r="S1034" i="11"/>
  <c r="O1034" i="11"/>
  <c r="J1034" i="11"/>
  <c r="G1034" i="11"/>
  <c r="T1033" i="11"/>
  <c r="S1033" i="11"/>
  <c r="O1033" i="11"/>
  <c r="J1033" i="11"/>
  <c r="G1033" i="11"/>
  <c r="T1032" i="11"/>
  <c r="S1032" i="11"/>
  <c r="O1032" i="11"/>
  <c r="J1032" i="11"/>
  <c r="G1032" i="11"/>
  <c r="R1031" i="11"/>
  <c r="O1031" i="11"/>
  <c r="T1030" i="11"/>
  <c r="S1030" i="11"/>
  <c r="O1030" i="11"/>
  <c r="J1030" i="11"/>
  <c r="G1030" i="11"/>
  <c r="T1029" i="11"/>
  <c r="S1029" i="11"/>
  <c r="O1029" i="11"/>
  <c r="J1029" i="11"/>
  <c r="N1029" i="11" s="1"/>
  <c r="G1029" i="11"/>
  <c r="R1028" i="11"/>
  <c r="O1028" i="11"/>
  <c r="T1027" i="11"/>
  <c r="S1027" i="11"/>
  <c r="O1027" i="11"/>
  <c r="J1027" i="11"/>
  <c r="G1027" i="11"/>
  <c r="T1026" i="11"/>
  <c r="S1026" i="11"/>
  <c r="O1026" i="11"/>
  <c r="J1026" i="11"/>
  <c r="N1026" i="11" s="1"/>
  <c r="G1026" i="11"/>
  <c r="R1025" i="11"/>
  <c r="Q1025" i="11"/>
  <c r="O1025" i="11"/>
  <c r="T1024" i="11"/>
  <c r="S1024" i="11"/>
  <c r="O1024" i="11"/>
  <c r="J1024" i="11"/>
  <c r="G1024" i="11"/>
  <c r="T1023" i="11"/>
  <c r="S1023" i="11"/>
  <c r="O1023" i="11"/>
  <c r="J1023" i="11"/>
  <c r="G1023" i="11"/>
  <c r="R1022" i="11"/>
  <c r="Q1022" i="11"/>
  <c r="O1022" i="11"/>
  <c r="R1021" i="11"/>
  <c r="Q1021" i="11"/>
  <c r="O1021" i="11"/>
  <c r="G1021" i="11"/>
  <c r="I1021" i="11" s="1"/>
  <c r="R1020" i="11"/>
  <c r="O1020" i="11"/>
  <c r="G1020" i="11"/>
  <c r="I1020" i="11" s="1"/>
  <c r="R1019" i="11"/>
  <c r="O1019" i="11"/>
  <c r="G1019" i="11"/>
  <c r="I1019" i="11" s="1"/>
  <c r="R1018" i="11"/>
  <c r="O1018" i="11"/>
  <c r="G1018" i="11"/>
  <c r="I1018" i="11" s="1"/>
  <c r="R1017" i="11"/>
  <c r="O1017" i="11"/>
  <c r="G1017" i="11"/>
  <c r="I1017" i="11" s="1"/>
  <c r="R1016" i="11"/>
  <c r="O1016" i="11"/>
  <c r="G1016" i="11"/>
  <c r="I1016" i="11" s="1"/>
  <c r="T1015" i="11"/>
  <c r="S1015" i="11"/>
  <c r="O1015" i="11"/>
  <c r="J1015" i="11"/>
  <c r="G1015" i="11"/>
  <c r="T1014" i="11"/>
  <c r="S1014" i="11"/>
  <c r="O1014" i="11"/>
  <c r="J1014" i="11"/>
  <c r="G1014" i="11"/>
  <c r="T1013" i="11"/>
  <c r="S1013" i="11"/>
  <c r="O1013" i="11"/>
  <c r="J1013" i="11"/>
  <c r="G1013" i="11"/>
  <c r="R1012" i="11"/>
  <c r="O1012" i="11"/>
  <c r="R1011" i="11"/>
  <c r="O1011" i="11"/>
  <c r="G1011" i="11"/>
  <c r="I1011" i="11" s="1"/>
  <c r="R1010" i="11"/>
  <c r="Q1010" i="11"/>
  <c r="O1010" i="11"/>
  <c r="G1010" i="11"/>
  <c r="I1010" i="11" s="1"/>
  <c r="R1009" i="11"/>
  <c r="Q1009" i="11"/>
  <c r="O1009" i="11"/>
  <c r="G1009" i="11"/>
  <c r="I1009" i="11" s="1"/>
  <c r="R1008" i="11"/>
  <c r="O1008" i="11"/>
  <c r="G1008" i="11"/>
  <c r="I1008" i="11" s="1"/>
  <c r="R1007" i="11"/>
  <c r="O1007" i="11"/>
  <c r="G1007" i="11"/>
  <c r="I1007" i="11" s="1"/>
  <c r="R1006" i="11"/>
  <c r="O1006" i="11"/>
  <c r="I1006" i="11"/>
  <c r="T1005" i="11"/>
  <c r="G1005" i="11"/>
  <c r="I1005" i="11" s="1"/>
  <c r="T1004" i="11"/>
  <c r="G1004" i="11"/>
  <c r="I1004" i="11" s="1"/>
  <c r="R1003" i="11"/>
  <c r="O1003" i="11"/>
  <c r="G1003" i="11"/>
  <c r="I1003" i="11" s="1"/>
  <c r="R1002" i="11"/>
  <c r="Q1002" i="11"/>
  <c r="O1002" i="11"/>
  <c r="G1002" i="11"/>
  <c r="I1002" i="11" s="1"/>
  <c r="T1001" i="11"/>
  <c r="S1001" i="11"/>
  <c r="O1001" i="11"/>
  <c r="J1001" i="11"/>
  <c r="G1001" i="11"/>
  <c r="T1000" i="11"/>
  <c r="S1000" i="11"/>
  <c r="O1000" i="11"/>
  <c r="J1000" i="11"/>
  <c r="G1000" i="11"/>
  <c r="R999" i="11"/>
  <c r="O999" i="11"/>
  <c r="R998" i="11"/>
  <c r="Q998" i="11"/>
  <c r="O998" i="11"/>
  <c r="I998" i="11"/>
  <c r="R997" i="11"/>
  <c r="O997" i="11"/>
  <c r="I997" i="11"/>
  <c r="R996" i="11"/>
  <c r="O996" i="11"/>
  <c r="I996" i="11"/>
  <c r="R995" i="11"/>
  <c r="O995" i="11"/>
  <c r="I995" i="11"/>
  <c r="R994" i="11"/>
  <c r="Q994" i="11"/>
  <c r="O994" i="11"/>
  <c r="I994" i="11"/>
  <c r="R993" i="11"/>
  <c r="O993" i="11"/>
  <c r="I993" i="11"/>
  <c r="R992" i="11"/>
  <c r="O992" i="11"/>
  <c r="I992" i="11"/>
  <c r="R991" i="11"/>
  <c r="O991" i="11"/>
  <c r="I991" i="11"/>
  <c r="R990" i="11"/>
  <c r="Q990" i="11"/>
  <c r="O990" i="11"/>
  <c r="I990" i="11"/>
  <c r="R989" i="11"/>
  <c r="O989" i="11"/>
  <c r="I989" i="11"/>
  <c r="R988" i="11"/>
  <c r="O988" i="11"/>
  <c r="I988" i="11"/>
  <c r="R987" i="11"/>
  <c r="O987" i="11"/>
  <c r="I987" i="11"/>
  <c r="R986" i="11"/>
  <c r="Q986" i="11"/>
  <c r="O986" i="11"/>
  <c r="I986" i="11"/>
  <c r="R985" i="11"/>
  <c r="O985" i="11"/>
  <c r="I985" i="11"/>
  <c r="I984" i="11"/>
  <c r="R983" i="11"/>
  <c r="O983" i="11"/>
  <c r="I983" i="11"/>
  <c r="R981" i="11"/>
  <c r="O981" i="11"/>
  <c r="J981" i="11"/>
  <c r="R980" i="11"/>
  <c r="O980" i="11"/>
  <c r="J980" i="11"/>
  <c r="R979" i="11"/>
  <c r="O979" i="11"/>
  <c r="J979" i="11"/>
  <c r="R978" i="11"/>
  <c r="O978" i="11"/>
  <c r="J978" i="11"/>
  <c r="N978" i="11" s="1"/>
  <c r="R977" i="11"/>
  <c r="O977" i="11"/>
  <c r="J977" i="11"/>
  <c r="R976" i="11"/>
  <c r="O976" i="11"/>
  <c r="J976" i="11"/>
  <c r="R975" i="11"/>
  <c r="O975" i="11"/>
  <c r="J975" i="11"/>
  <c r="R974" i="11"/>
  <c r="O974" i="11"/>
  <c r="J974" i="11"/>
  <c r="N974" i="11" s="1"/>
  <c r="R973" i="11"/>
  <c r="O973" i="11"/>
  <c r="J973" i="11"/>
  <c r="R972" i="11"/>
  <c r="Q972" i="11"/>
  <c r="O972" i="11"/>
  <c r="J972" i="11"/>
  <c r="R971" i="11"/>
  <c r="O971" i="11"/>
  <c r="J971" i="11"/>
  <c r="R970" i="11"/>
  <c r="Q970" i="11"/>
  <c r="O970" i="11"/>
  <c r="J970" i="11"/>
  <c r="R969" i="11"/>
  <c r="O969" i="11"/>
  <c r="J969" i="11"/>
  <c r="R968" i="11"/>
  <c r="O968" i="11"/>
  <c r="J968" i="11"/>
  <c r="R967" i="11"/>
  <c r="O967" i="11"/>
  <c r="J967" i="11"/>
  <c r="R966" i="11"/>
  <c r="Q966" i="11"/>
  <c r="O966" i="11"/>
  <c r="J966" i="11"/>
  <c r="N966" i="11" s="1"/>
  <c r="R965" i="11"/>
  <c r="O965" i="11"/>
  <c r="J965" i="11"/>
  <c r="R964" i="11"/>
  <c r="O964" i="11"/>
  <c r="J964" i="11"/>
  <c r="R963" i="11"/>
  <c r="O963" i="11"/>
  <c r="J963" i="11"/>
  <c r="R962" i="11"/>
  <c r="O962" i="11"/>
  <c r="J962" i="11"/>
  <c r="N962" i="11" s="1"/>
  <c r="R961" i="11"/>
  <c r="O961" i="11"/>
  <c r="J961" i="11"/>
  <c r="R960" i="11"/>
  <c r="O960" i="11"/>
  <c r="J960" i="11"/>
  <c r="R959" i="11"/>
  <c r="O959" i="11"/>
  <c r="J959" i="11"/>
  <c r="R958" i="11"/>
  <c r="O958" i="11"/>
  <c r="J958" i="11"/>
  <c r="N958" i="11" s="1"/>
  <c r="R957" i="11"/>
  <c r="O957" i="11"/>
  <c r="J957" i="11"/>
  <c r="R956" i="11"/>
  <c r="O956" i="11"/>
  <c r="J956" i="11"/>
  <c r="R955" i="11"/>
  <c r="O955" i="11"/>
  <c r="J955" i="11"/>
  <c r="R954" i="11"/>
  <c r="Q954" i="11"/>
  <c r="O954" i="11"/>
  <c r="J954" i="11"/>
  <c r="R953" i="11"/>
  <c r="O953" i="11"/>
  <c r="J953" i="11"/>
  <c r="R952" i="11"/>
  <c r="O952" i="11"/>
  <c r="J952" i="11"/>
  <c r="R951" i="11"/>
  <c r="O951" i="11"/>
  <c r="J951" i="11"/>
  <c r="R950" i="11"/>
  <c r="Q950" i="11"/>
  <c r="O950" i="11"/>
  <c r="J950" i="11"/>
  <c r="N950" i="11" s="1"/>
  <c r="R948" i="11"/>
  <c r="O948" i="11"/>
  <c r="I948" i="11"/>
  <c r="R947" i="11"/>
  <c r="O947" i="11"/>
  <c r="I947" i="11"/>
  <c r="R946" i="11"/>
  <c r="Q946" i="11"/>
  <c r="O946" i="11"/>
  <c r="I946" i="11"/>
  <c r="R945" i="11"/>
  <c r="Q945" i="11"/>
  <c r="O945" i="11"/>
  <c r="I945" i="11"/>
  <c r="R944" i="11"/>
  <c r="O944" i="11"/>
  <c r="G944" i="11"/>
  <c r="I944" i="11" s="1"/>
  <c r="R943" i="11"/>
  <c r="O943" i="11"/>
  <c r="I943" i="11"/>
  <c r="R942" i="11"/>
  <c r="O942" i="11"/>
  <c r="I942" i="11"/>
  <c r="R941" i="11"/>
  <c r="O941" i="11"/>
  <c r="I941" i="11"/>
  <c r="R940" i="11"/>
  <c r="O940" i="11"/>
  <c r="I940" i="11"/>
  <c r="R939" i="11"/>
  <c r="O939" i="11"/>
  <c r="I939" i="11"/>
  <c r="R938" i="11"/>
  <c r="Q938" i="11"/>
  <c r="O938" i="11"/>
  <c r="I938" i="11"/>
  <c r="R937" i="11"/>
  <c r="Q937" i="11"/>
  <c r="O937" i="11"/>
  <c r="I937" i="11"/>
  <c r="T936" i="11"/>
  <c r="S936" i="11"/>
  <c r="O936" i="11"/>
  <c r="J936" i="11"/>
  <c r="I936" i="11"/>
  <c r="G936" i="11"/>
  <c r="T935" i="11"/>
  <c r="S935" i="11"/>
  <c r="O935" i="11"/>
  <c r="J935" i="11"/>
  <c r="I935" i="11"/>
  <c r="G935" i="11"/>
  <c r="T934" i="11"/>
  <c r="S934" i="11"/>
  <c r="O934" i="11"/>
  <c r="J934" i="11"/>
  <c r="N934" i="11" s="1"/>
  <c r="I934" i="11"/>
  <c r="G934" i="11"/>
  <c r="R933" i="11"/>
  <c r="O933" i="11"/>
  <c r="G932" i="11"/>
  <c r="I932" i="11" s="1"/>
  <c r="R931" i="11"/>
  <c r="O931" i="11"/>
  <c r="G931" i="11"/>
  <c r="I931" i="11" s="1"/>
  <c r="R930" i="11"/>
  <c r="O930" i="11"/>
  <c r="G930" i="11"/>
  <c r="I930" i="11" s="1"/>
  <c r="R929" i="11"/>
  <c r="O929" i="11"/>
  <c r="I929" i="11"/>
  <c r="R928" i="11"/>
  <c r="O928" i="11"/>
  <c r="G928" i="11"/>
  <c r="I928" i="11" s="1"/>
  <c r="R927" i="11"/>
  <c r="O927" i="11"/>
  <c r="G927" i="11"/>
  <c r="I927" i="11" s="1"/>
  <c r="R926" i="11"/>
  <c r="O926" i="11"/>
  <c r="I926" i="11"/>
  <c r="R925" i="11"/>
  <c r="O925" i="11"/>
  <c r="I925" i="11"/>
  <c r="R924" i="11"/>
  <c r="O924" i="11"/>
  <c r="I924" i="11"/>
  <c r="R923" i="11"/>
  <c r="O923" i="11"/>
  <c r="G923" i="11"/>
  <c r="I923" i="11" s="1"/>
  <c r="R922" i="11"/>
  <c r="O922" i="11"/>
  <c r="I922" i="11"/>
  <c r="R921" i="11"/>
  <c r="O921" i="11"/>
  <c r="I921" i="11"/>
  <c r="R920" i="11"/>
  <c r="Q920" i="11"/>
  <c r="O920" i="11"/>
  <c r="I920" i="11"/>
  <c r="T919" i="11"/>
  <c r="S919" i="11"/>
  <c r="O919" i="11"/>
  <c r="G919" i="11"/>
  <c r="T918" i="11"/>
  <c r="S918" i="11"/>
  <c r="O918" i="11"/>
  <c r="G918" i="11"/>
  <c r="T917" i="11"/>
  <c r="S917" i="11"/>
  <c r="O917" i="11"/>
  <c r="G917" i="11"/>
  <c r="R916" i="11"/>
  <c r="O916" i="11"/>
  <c r="T915" i="11"/>
  <c r="S915" i="11"/>
  <c r="O915" i="11"/>
  <c r="J915" i="11"/>
  <c r="G915" i="11"/>
  <c r="T914" i="11"/>
  <c r="S914" i="11"/>
  <c r="O914" i="11"/>
  <c r="J914" i="11"/>
  <c r="G914" i="11"/>
  <c r="T913" i="11"/>
  <c r="S913" i="11"/>
  <c r="O913" i="11"/>
  <c r="J913" i="11"/>
  <c r="G913" i="11"/>
  <c r="T911" i="11"/>
  <c r="S911" i="11"/>
  <c r="O911" i="11"/>
  <c r="J911" i="11"/>
  <c r="G911" i="11"/>
  <c r="T910" i="11"/>
  <c r="S910" i="11"/>
  <c r="O910" i="11"/>
  <c r="J910" i="11"/>
  <c r="G910" i="11"/>
  <c r="T909" i="11"/>
  <c r="S909" i="11"/>
  <c r="O909" i="11"/>
  <c r="J909" i="11"/>
  <c r="G909" i="11"/>
  <c r="R908" i="11"/>
  <c r="O908" i="11"/>
  <c r="T907" i="11"/>
  <c r="S907" i="11"/>
  <c r="O907" i="11"/>
  <c r="J907" i="11"/>
  <c r="G907" i="11"/>
  <c r="T906" i="11"/>
  <c r="S906" i="11"/>
  <c r="O906" i="11"/>
  <c r="J906" i="11"/>
  <c r="N906" i="11" s="1"/>
  <c r="G906" i="11"/>
  <c r="T905" i="11"/>
  <c r="S905" i="11"/>
  <c r="O905" i="11"/>
  <c r="J905" i="11"/>
  <c r="G905" i="11"/>
  <c r="R904" i="11"/>
  <c r="O904" i="11"/>
  <c r="T903" i="11"/>
  <c r="S903" i="11"/>
  <c r="O903" i="11"/>
  <c r="J903" i="11"/>
  <c r="G903" i="11"/>
  <c r="T902" i="11"/>
  <c r="S902" i="11"/>
  <c r="O902" i="11"/>
  <c r="J902" i="11"/>
  <c r="N902" i="11" s="1"/>
  <c r="G902" i="11"/>
  <c r="T901" i="11"/>
  <c r="S901" i="11"/>
  <c r="O901" i="11"/>
  <c r="J901" i="11"/>
  <c r="G901" i="11"/>
  <c r="R900" i="11"/>
  <c r="O900" i="11"/>
  <c r="R899" i="11"/>
  <c r="O899" i="11"/>
  <c r="G899" i="11"/>
  <c r="I899" i="11" s="1"/>
  <c r="R898" i="11"/>
  <c r="O898" i="11"/>
  <c r="G898" i="11"/>
  <c r="I898" i="11" s="1"/>
  <c r="R897" i="11"/>
  <c r="O897" i="11"/>
  <c r="G897" i="11"/>
  <c r="I897" i="11" s="1"/>
  <c r="R896" i="11"/>
  <c r="O896" i="11"/>
  <c r="G896" i="11"/>
  <c r="I896" i="11" s="1"/>
  <c r="R895" i="11"/>
  <c r="O895" i="11"/>
  <c r="G895" i="11"/>
  <c r="I895" i="11" s="1"/>
  <c r="R894" i="11"/>
  <c r="Q894" i="11"/>
  <c r="O894" i="11"/>
  <c r="I894" i="11"/>
  <c r="R893" i="11"/>
  <c r="O893" i="11"/>
  <c r="I893" i="11"/>
  <c r="R892" i="11"/>
  <c r="O892" i="11"/>
  <c r="I892" i="11"/>
  <c r="R891" i="11"/>
  <c r="O891" i="11"/>
  <c r="I891" i="11"/>
  <c r="R890" i="11"/>
  <c r="Q890" i="11"/>
  <c r="O890" i="11"/>
  <c r="G890" i="11"/>
  <c r="I890" i="11" s="1"/>
  <c r="R888" i="11"/>
  <c r="O888" i="11"/>
  <c r="J888" i="11"/>
  <c r="R887" i="11"/>
  <c r="O887" i="11"/>
  <c r="J887" i="11"/>
  <c r="R886" i="11"/>
  <c r="O886" i="11"/>
  <c r="J886" i="11"/>
  <c r="N886" i="11" s="1"/>
  <c r="R885" i="11"/>
  <c r="O885" i="11"/>
  <c r="J885" i="11"/>
  <c r="R884" i="11"/>
  <c r="O884" i="11"/>
  <c r="J884" i="11"/>
  <c r="R883" i="11"/>
  <c r="O883" i="11"/>
  <c r="J883" i="11"/>
  <c r="R882" i="11"/>
  <c r="Q882" i="11"/>
  <c r="O882" i="11"/>
  <c r="J882" i="11"/>
  <c r="R881" i="11"/>
  <c r="O881" i="11"/>
  <c r="J881" i="11"/>
  <c r="R880" i="11"/>
  <c r="O880" i="11"/>
  <c r="J880" i="11"/>
  <c r="N880" i="11" s="1"/>
  <c r="R879" i="11"/>
  <c r="O879" i="11"/>
  <c r="J879" i="11"/>
  <c r="R878" i="11"/>
  <c r="Q878" i="11"/>
  <c r="O878" i="11"/>
  <c r="J878" i="11"/>
  <c r="R877" i="11"/>
  <c r="O877" i="11"/>
  <c r="J877" i="11"/>
  <c r="R876" i="11"/>
  <c r="Q876" i="11"/>
  <c r="O876" i="11"/>
  <c r="J876" i="11"/>
  <c r="R875" i="11"/>
  <c r="O875" i="11"/>
  <c r="J875" i="11"/>
  <c r="R874" i="11"/>
  <c r="O874" i="11"/>
  <c r="J874" i="11"/>
  <c r="N874" i="11" s="1"/>
  <c r="R873" i="11"/>
  <c r="O873" i="11"/>
  <c r="J873" i="11"/>
  <c r="R872" i="11"/>
  <c r="O872" i="11"/>
  <c r="J872" i="11"/>
  <c r="N872" i="11" s="1"/>
  <c r="R871" i="11"/>
  <c r="O871" i="11"/>
  <c r="J871" i="11"/>
  <c r="R870" i="11"/>
  <c r="Q870" i="11"/>
  <c r="O870" i="11"/>
  <c r="J870" i="11"/>
  <c r="R869" i="11"/>
  <c r="O869" i="11"/>
  <c r="J869" i="11"/>
  <c r="R868" i="11"/>
  <c r="Q868" i="11"/>
  <c r="O868" i="11"/>
  <c r="J868" i="11"/>
  <c r="R867" i="11"/>
  <c r="O867" i="11"/>
  <c r="J867" i="11"/>
  <c r="R866" i="11"/>
  <c r="O866" i="11"/>
  <c r="J866" i="11"/>
  <c r="N866" i="11" s="1"/>
  <c r="R865" i="11"/>
  <c r="O865" i="11"/>
  <c r="J865" i="11"/>
  <c r="R864" i="11"/>
  <c r="O864" i="11"/>
  <c r="J864" i="11"/>
  <c r="N864" i="11" s="1"/>
  <c r="R863" i="11"/>
  <c r="O863" i="11"/>
  <c r="J863" i="11"/>
  <c r="R862" i="11"/>
  <c r="O862" i="11"/>
  <c r="J862" i="11"/>
  <c r="N862" i="11" s="1"/>
  <c r="R861" i="11"/>
  <c r="O861" i="11"/>
  <c r="J861" i="11"/>
  <c r="R860" i="11"/>
  <c r="Q860" i="11"/>
  <c r="O860" i="11"/>
  <c r="J860" i="11"/>
  <c r="R859" i="11"/>
  <c r="O859" i="11"/>
  <c r="J859" i="11"/>
  <c r="R858" i="11"/>
  <c r="Q858" i="11"/>
  <c r="O858" i="11"/>
  <c r="J858" i="11"/>
  <c r="R857" i="11"/>
  <c r="O857" i="11"/>
  <c r="J857" i="11"/>
  <c r="R855" i="11"/>
  <c r="O855" i="11"/>
  <c r="I855" i="11"/>
  <c r="R854" i="11"/>
  <c r="O854" i="11"/>
  <c r="I854" i="11"/>
  <c r="R853" i="11"/>
  <c r="O853" i="11"/>
  <c r="I853" i="11"/>
  <c r="R852" i="11"/>
  <c r="Q852" i="11"/>
  <c r="O852" i="11"/>
  <c r="I852" i="11"/>
  <c r="R851" i="11"/>
  <c r="O851" i="11"/>
  <c r="I851" i="11"/>
  <c r="R850" i="11"/>
  <c r="Q850" i="11"/>
  <c r="O850" i="11"/>
  <c r="I850" i="11"/>
  <c r="R849" i="11"/>
  <c r="O849" i="11"/>
  <c r="I849" i="11"/>
  <c r="R848" i="11"/>
  <c r="O848" i="11"/>
  <c r="I848" i="11"/>
  <c r="R847" i="11"/>
  <c r="O847" i="11"/>
  <c r="I847" i="11"/>
  <c r="R846" i="11"/>
  <c r="O846" i="11"/>
  <c r="I846" i="11"/>
  <c r="R845" i="11"/>
  <c r="O845" i="11"/>
  <c r="I845" i="11"/>
  <c r="R844" i="11"/>
  <c r="O844" i="11"/>
  <c r="I844" i="11"/>
  <c r="R843" i="11"/>
  <c r="O843" i="11"/>
  <c r="I843" i="11"/>
  <c r="R842" i="11"/>
  <c r="O842" i="11"/>
  <c r="I842" i="11"/>
  <c r="R841" i="11"/>
  <c r="Q841" i="11"/>
  <c r="O841" i="11"/>
  <c r="I841" i="11"/>
  <c r="R840" i="11"/>
  <c r="O840" i="11"/>
  <c r="I840" i="11"/>
  <c r="R839" i="11"/>
  <c r="O839" i="11"/>
  <c r="I839" i="11"/>
  <c r="R838" i="11"/>
  <c r="Q838" i="11"/>
  <c r="O838" i="11"/>
  <c r="I838" i="11"/>
  <c r="R837" i="11"/>
  <c r="O837" i="11"/>
  <c r="I837" i="11"/>
  <c r="R836" i="11"/>
  <c r="Q836" i="11"/>
  <c r="O836" i="11"/>
  <c r="I836" i="11"/>
  <c r="R835" i="11"/>
  <c r="O835" i="11"/>
  <c r="I835" i="11"/>
  <c r="R834" i="11"/>
  <c r="O834" i="11"/>
  <c r="I834" i="11"/>
  <c r="R833" i="11"/>
  <c r="O833" i="11"/>
  <c r="I833" i="11"/>
  <c r="R832" i="11"/>
  <c r="Q832" i="11"/>
  <c r="O832" i="11"/>
  <c r="I832" i="11"/>
  <c r="R831" i="11"/>
  <c r="O831" i="11"/>
  <c r="I831" i="11"/>
  <c r="R830" i="11"/>
  <c r="Q830" i="11"/>
  <c r="O830" i="11"/>
  <c r="I830" i="11"/>
  <c r="R829" i="11"/>
  <c r="O829" i="11"/>
  <c r="I829" i="11"/>
  <c r="R828" i="11"/>
  <c r="O828" i="11"/>
  <c r="I828" i="11"/>
  <c r="R827" i="11"/>
  <c r="O827" i="11"/>
  <c r="I827" i="11"/>
  <c r="R826" i="11"/>
  <c r="O826" i="11"/>
  <c r="I826" i="11"/>
  <c r="R825" i="11"/>
  <c r="O825" i="11"/>
  <c r="I825" i="11"/>
  <c r="R824" i="11"/>
  <c r="O824" i="11"/>
  <c r="I824" i="11"/>
  <c r="R823" i="11"/>
  <c r="O823" i="11"/>
  <c r="I823" i="11"/>
  <c r="R822" i="11"/>
  <c r="O822" i="11"/>
  <c r="I822" i="11"/>
  <c r="R821" i="11"/>
  <c r="O821" i="11"/>
  <c r="I821" i="11"/>
  <c r="R820" i="11"/>
  <c r="Q820" i="11"/>
  <c r="O820" i="11"/>
  <c r="I820" i="11"/>
  <c r="R819" i="11"/>
  <c r="O819" i="11"/>
  <c r="I819" i="11"/>
  <c r="R818" i="11"/>
  <c r="Q818" i="11"/>
  <c r="O818" i="11"/>
  <c r="I818" i="11"/>
  <c r="R817" i="11"/>
  <c r="O817" i="11"/>
  <c r="I817" i="11"/>
  <c r="R816" i="11"/>
  <c r="O816" i="11"/>
  <c r="I816" i="11"/>
  <c r="R815" i="11"/>
  <c r="O815" i="11"/>
  <c r="I815" i="11"/>
  <c r="R814" i="11"/>
  <c r="O814" i="11"/>
  <c r="I814" i="11"/>
  <c r="R813" i="11"/>
  <c r="O813" i="11"/>
  <c r="I813" i="11"/>
  <c r="R812" i="11"/>
  <c r="O812" i="11"/>
  <c r="I812" i="11"/>
  <c r="R811" i="11"/>
  <c r="O811" i="11"/>
  <c r="I811" i="11"/>
  <c r="R810" i="11"/>
  <c r="O810" i="11"/>
  <c r="I810" i="11"/>
  <c r="R809" i="11"/>
  <c r="Q809" i="11"/>
  <c r="O809" i="11"/>
  <c r="I809" i="11"/>
  <c r="R808" i="11"/>
  <c r="O808" i="11"/>
  <c r="I808" i="11"/>
  <c r="R807" i="11"/>
  <c r="O807" i="11"/>
  <c r="I807" i="11"/>
  <c r="R806" i="11"/>
  <c r="Q806" i="11"/>
  <c r="O806" i="11"/>
  <c r="I806" i="11"/>
  <c r="R805" i="11"/>
  <c r="O805" i="11"/>
  <c r="I805" i="11"/>
  <c r="R804" i="11"/>
  <c r="Q804" i="11"/>
  <c r="O804" i="11"/>
  <c r="I804" i="11"/>
  <c r="R803" i="11"/>
  <c r="O803" i="11"/>
  <c r="I803" i="11"/>
  <c r="R802" i="11"/>
  <c r="O802" i="11"/>
  <c r="I802" i="11"/>
  <c r="R801" i="11"/>
  <c r="O801" i="11"/>
  <c r="I801" i="11"/>
  <c r="R800" i="11"/>
  <c r="Q800" i="11"/>
  <c r="O800" i="11"/>
  <c r="I800" i="11"/>
  <c r="R799" i="11"/>
  <c r="O799" i="11"/>
  <c r="I799" i="11"/>
  <c r="R798" i="11"/>
  <c r="Q798" i="11"/>
  <c r="O798" i="11"/>
  <c r="I798" i="11"/>
  <c r="R797" i="11"/>
  <c r="O797" i="11"/>
  <c r="I797" i="11"/>
  <c r="R796" i="11"/>
  <c r="O796" i="11"/>
  <c r="I796" i="11"/>
  <c r="R795" i="11"/>
  <c r="O795" i="11"/>
  <c r="I795" i="11"/>
  <c r="R794" i="11"/>
  <c r="O794" i="11"/>
  <c r="I794" i="11"/>
  <c r="R793" i="11"/>
  <c r="O793" i="11"/>
  <c r="I793" i="11"/>
  <c r="R792" i="11"/>
  <c r="O792" i="11"/>
  <c r="I792" i="11"/>
  <c r="R791" i="11"/>
  <c r="O791" i="11"/>
  <c r="I791" i="11"/>
  <c r="R790" i="11"/>
  <c r="O790" i="11"/>
  <c r="I790" i="11"/>
  <c r="R789" i="11"/>
  <c r="O789" i="11"/>
  <c r="I789" i="11"/>
  <c r="R788" i="11"/>
  <c r="Q788" i="11"/>
  <c r="O788" i="11"/>
  <c r="I788" i="11"/>
  <c r="R787" i="11"/>
  <c r="O787" i="11"/>
  <c r="I787" i="11"/>
  <c r="R786" i="11"/>
  <c r="Q786" i="11"/>
  <c r="O786" i="11"/>
  <c r="I786" i="11"/>
  <c r="R785" i="11"/>
  <c r="O785" i="11"/>
  <c r="I785" i="11"/>
  <c r="R784" i="11"/>
  <c r="O784" i="11"/>
  <c r="I784" i="11"/>
  <c r="R783" i="11"/>
  <c r="O783" i="11"/>
  <c r="I783" i="11"/>
  <c r="R782" i="11"/>
  <c r="O782" i="11"/>
  <c r="I782" i="11"/>
  <c r="R781" i="11"/>
  <c r="O781" i="11"/>
  <c r="I781" i="11"/>
  <c r="R780" i="11"/>
  <c r="O780" i="11"/>
  <c r="I780" i="11"/>
  <c r="R779" i="11"/>
  <c r="O779" i="11"/>
  <c r="I779" i="11"/>
  <c r="R778" i="11"/>
  <c r="O778" i="11"/>
  <c r="I778" i="11"/>
  <c r="R777" i="11"/>
  <c r="Q777" i="11"/>
  <c r="O777" i="11"/>
  <c r="I777" i="11"/>
  <c r="R776" i="11"/>
  <c r="O776" i="11"/>
  <c r="I776" i="11"/>
  <c r="R775" i="11"/>
  <c r="O775" i="11"/>
  <c r="I775" i="11"/>
  <c r="R774" i="11"/>
  <c r="Q774" i="11"/>
  <c r="O774" i="11"/>
  <c r="I774" i="11"/>
  <c r="R773" i="11"/>
  <c r="O773" i="11"/>
  <c r="I773" i="11"/>
  <c r="R772" i="11"/>
  <c r="O772" i="11"/>
  <c r="I772" i="11"/>
  <c r="R771" i="11"/>
  <c r="O771" i="11"/>
  <c r="I771" i="11"/>
  <c r="R770" i="11"/>
  <c r="O770" i="11"/>
  <c r="I770" i="11"/>
  <c r="R769" i="11"/>
  <c r="O769" i="11"/>
  <c r="I769" i="11"/>
  <c r="R768" i="11"/>
  <c r="O768" i="11"/>
  <c r="I768" i="11"/>
  <c r="R767" i="11"/>
  <c r="O767" i="11"/>
  <c r="I767" i="11"/>
  <c r="R766" i="11"/>
  <c r="O766" i="11"/>
  <c r="I766" i="11"/>
  <c r="R765" i="11"/>
  <c r="O765" i="11"/>
  <c r="I765" i="11"/>
  <c r="R764" i="11"/>
  <c r="O764" i="11"/>
  <c r="I764" i="11"/>
  <c r="R763" i="11"/>
  <c r="O763" i="11"/>
  <c r="I763" i="11"/>
  <c r="R762" i="11"/>
  <c r="Q762" i="11"/>
  <c r="O762" i="11"/>
  <c r="I762" i="11"/>
  <c r="R761" i="11"/>
  <c r="O761" i="11"/>
  <c r="I761" i="11"/>
  <c r="R760" i="11"/>
  <c r="O760" i="11"/>
  <c r="I760" i="11"/>
  <c r="R759" i="11"/>
  <c r="O759" i="11"/>
  <c r="I759" i="11"/>
  <c r="R758" i="11"/>
  <c r="Q758" i="11"/>
  <c r="O758" i="11"/>
  <c r="I758" i="11"/>
  <c r="R757" i="11"/>
  <c r="O757" i="11"/>
  <c r="I757" i="11"/>
  <c r="R756" i="11"/>
  <c r="O756" i="11"/>
  <c r="I756" i="11"/>
  <c r="R755" i="11"/>
  <c r="O755" i="11"/>
  <c r="I755" i="11"/>
  <c r="R754" i="11"/>
  <c r="O754" i="11"/>
  <c r="I754" i="11"/>
  <c r="R753" i="11"/>
  <c r="O753" i="11"/>
  <c r="I753" i="11"/>
  <c r="R752" i="11"/>
  <c r="O752" i="11"/>
  <c r="I752" i="11"/>
  <c r="R751" i="11"/>
  <c r="O751" i="11"/>
  <c r="I751" i="11"/>
  <c r="R750" i="11"/>
  <c r="O750" i="11"/>
  <c r="I750" i="11"/>
  <c r="R749" i="11"/>
  <c r="O749" i="11"/>
  <c r="I749" i="11"/>
  <c r="R748" i="11"/>
  <c r="O748" i="11"/>
  <c r="I748" i="11"/>
  <c r="R747" i="11"/>
  <c r="O747" i="11"/>
  <c r="I747" i="11"/>
  <c r="R746" i="11"/>
  <c r="Q746" i="11"/>
  <c r="O746" i="11"/>
  <c r="I746" i="11"/>
  <c r="R745" i="11"/>
  <c r="O745" i="11"/>
  <c r="I745" i="11"/>
  <c r="R744" i="11"/>
  <c r="O744" i="11"/>
  <c r="I744" i="11"/>
  <c r="R743" i="11"/>
  <c r="O743" i="11"/>
  <c r="I743" i="11"/>
  <c r="R742" i="11"/>
  <c r="Q742" i="11"/>
  <c r="O742" i="11"/>
  <c r="I742" i="11"/>
  <c r="R741" i="11"/>
  <c r="O741" i="11"/>
  <c r="I741" i="11"/>
  <c r="R740" i="11"/>
  <c r="O740" i="11"/>
  <c r="I740" i="11"/>
  <c r="R739" i="11"/>
  <c r="O739" i="11"/>
  <c r="I739" i="11"/>
  <c r="R738" i="11"/>
  <c r="O738" i="11"/>
  <c r="I738" i="11"/>
  <c r="R737" i="11"/>
  <c r="O737" i="11"/>
  <c r="I737" i="11"/>
  <c r="R736" i="11"/>
  <c r="O736" i="11"/>
  <c r="I736" i="11"/>
  <c r="R735" i="11"/>
  <c r="O735" i="11"/>
  <c r="I735" i="11"/>
  <c r="R734" i="11"/>
  <c r="O734" i="11"/>
  <c r="I734" i="11"/>
  <c r="R733" i="11"/>
  <c r="O733" i="11"/>
  <c r="I733" i="11"/>
  <c r="R732" i="11"/>
  <c r="O732" i="11"/>
  <c r="I732" i="11"/>
  <c r="R731" i="11"/>
  <c r="O731" i="11"/>
  <c r="I731" i="11"/>
  <c r="R730" i="11"/>
  <c r="Q730" i="11"/>
  <c r="O730" i="11"/>
  <c r="I730" i="11"/>
  <c r="R729" i="11"/>
  <c r="O729" i="11"/>
  <c r="I729" i="11"/>
  <c r="R728" i="11"/>
  <c r="O728" i="11"/>
  <c r="I728" i="11"/>
  <c r="R727" i="11"/>
  <c r="O727" i="11"/>
  <c r="I727" i="11"/>
  <c r="R726" i="11"/>
  <c r="Q726" i="11"/>
  <c r="O726" i="11"/>
  <c r="I726" i="11"/>
  <c r="R725" i="11"/>
  <c r="O725" i="11"/>
  <c r="I725" i="11"/>
  <c r="R724" i="11"/>
  <c r="O724" i="11"/>
  <c r="I724" i="11"/>
  <c r="R723" i="11"/>
  <c r="O723" i="11"/>
  <c r="I723" i="11"/>
  <c r="R722" i="11"/>
  <c r="O722" i="11"/>
  <c r="I722" i="11"/>
  <c r="R721" i="11"/>
  <c r="O721" i="11"/>
  <c r="I721" i="11"/>
  <c r="R720" i="11"/>
  <c r="O720" i="11"/>
  <c r="I720" i="11"/>
  <c r="R719" i="11"/>
  <c r="O719" i="11"/>
  <c r="I719" i="11"/>
  <c r="R718" i="11"/>
  <c r="O718" i="11"/>
  <c r="I718" i="11"/>
  <c r="R717" i="11"/>
  <c r="O717" i="11"/>
  <c r="I717" i="11"/>
  <c r="R716" i="11"/>
  <c r="Q716" i="11"/>
  <c r="O716" i="11"/>
  <c r="I716" i="11"/>
  <c r="R715" i="11"/>
  <c r="O715" i="11"/>
  <c r="I715" i="11"/>
  <c r="R714" i="11"/>
  <c r="Q714" i="11"/>
  <c r="O714" i="11"/>
  <c r="I714" i="11"/>
  <c r="R713" i="11"/>
  <c r="O713" i="11"/>
  <c r="I713" i="11"/>
  <c r="R712" i="11"/>
  <c r="O712" i="11"/>
  <c r="I712" i="11"/>
  <c r="R711" i="11"/>
  <c r="O711" i="11"/>
  <c r="I711" i="11"/>
  <c r="R710" i="11"/>
  <c r="O710" i="11"/>
  <c r="I710" i="11"/>
  <c r="R709" i="11"/>
  <c r="O709" i="11"/>
  <c r="I709" i="11"/>
  <c r="R708" i="11"/>
  <c r="Q708" i="11"/>
  <c r="O708" i="11"/>
  <c r="I708" i="11"/>
  <c r="R707" i="11"/>
  <c r="O707" i="11"/>
  <c r="I707" i="11"/>
  <c r="R706" i="11"/>
  <c r="Q706" i="11"/>
  <c r="O706" i="11"/>
  <c r="I706" i="11"/>
  <c r="R705" i="11"/>
  <c r="O705" i="11"/>
  <c r="I705" i="11"/>
  <c r="R704" i="11"/>
  <c r="O704" i="11"/>
  <c r="I704" i="11"/>
  <c r="R703" i="11"/>
  <c r="O703" i="11"/>
  <c r="I703" i="11"/>
  <c r="R702" i="11"/>
  <c r="Q702" i="11"/>
  <c r="O702" i="11"/>
  <c r="I702" i="11"/>
  <c r="R701" i="11"/>
  <c r="O701" i="11"/>
  <c r="I701" i="11"/>
  <c r="R700" i="11"/>
  <c r="Q700" i="11"/>
  <c r="O700" i="11"/>
  <c r="I700" i="11"/>
  <c r="R699" i="11"/>
  <c r="O699" i="11"/>
  <c r="I699" i="11"/>
  <c r="R698" i="11"/>
  <c r="O698" i="11"/>
  <c r="I698" i="11"/>
  <c r="R697" i="11"/>
  <c r="O697" i="11"/>
  <c r="I697" i="11"/>
  <c r="R696" i="11"/>
  <c r="O696" i="11"/>
  <c r="I696" i="11"/>
  <c r="R695" i="11"/>
  <c r="O695" i="11"/>
  <c r="I695" i="11"/>
  <c r="R694" i="11"/>
  <c r="Q694" i="11"/>
  <c r="O694" i="11"/>
  <c r="I694" i="11"/>
  <c r="R693" i="11"/>
  <c r="O693" i="11"/>
  <c r="I693" i="11"/>
  <c r="R692" i="11"/>
  <c r="Q692" i="11"/>
  <c r="O692" i="11"/>
  <c r="I692" i="11"/>
  <c r="R691" i="11"/>
  <c r="O691" i="11"/>
  <c r="I691" i="11"/>
  <c r="R690" i="11"/>
  <c r="O690" i="11"/>
  <c r="I690" i="11"/>
  <c r="R689" i="11"/>
  <c r="O689" i="11"/>
  <c r="I689" i="11"/>
  <c r="R688" i="11"/>
  <c r="O688" i="11"/>
  <c r="I688" i="11"/>
  <c r="R687" i="11"/>
  <c r="O687" i="11"/>
  <c r="I687" i="11"/>
  <c r="R686" i="11"/>
  <c r="O686" i="11"/>
  <c r="I686" i="11"/>
  <c r="R685" i="11"/>
  <c r="Q685" i="11"/>
  <c r="O685" i="11"/>
  <c r="I685" i="11"/>
  <c r="R684" i="11"/>
  <c r="Q684" i="11"/>
  <c r="O684" i="11"/>
  <c r="I684" i="11"/>
  <c r="R683" i="11"/>
  <c r="O683" i="11"/>
  <c r="I683" i="11"/>
  <c r="R682" i="11"/>
  <c r="O682" i="11"/>
  <c r="I682" i="11"/>
  <c r="R681" i="11"/>
  <c r="O681" i="11"/>
  <c r="I681" i="11"/>
  <c r="R680" i="11"/>
  <c r="O680" i="11"/>
  <c r="I680" i="11"/>
  <c r="R679" i="11"/>
  <c r="O679" i="11"/>
  <c r="I679" i="11"/>
  <c r="R678" i="11"/>
  <c r="Q678" i="11"/>
  <c r="O678" i="11"/>
  <c r="I678" i="11"/>
  <c r="R677" i="11"/>
  <c r="Q677" i="11"/>
  <c r="O677" i="11"/>
  <c r="I677" i="11"/>
  <c r="R676" i="11"/>
  <c r="Q676" i="11"/>
  <c r="O676" i="11"/>
  <c r="I676" i="11"/>
  <c r="R675" i="11"/>
  <c r="O675" i="11"/>
  <c r="I675" i="11"/>
  <c r="R674" i="11"/>
  <c r="O674" i="11"/>
  <c r="I674" i="11"/>
  <c r="R673" i="11"/>
  <c r="O673" i="11"/>
  <c r="I673" i="11"/>
  <c r="R672" i="11"/>
  <c r="O672" i="11"/>
  <c r="I672" i="11"/>
  <c r="R671" i="11"/>
  <c r="Q671" i="11"/>
  <c r="O671" i="11"/>
  <c r="I671" i="11"/>
  <c r="R670" i="11"/>
  <c r="Q670" i="11"/>
  <c r="O670" i="11"/>
  <c r="I670" i="11"/>
  <c r="R669" i="11"/>
  <c r="O669" i="11"/>
  <c r="I669" i="11"/>
  <c r="R668" i="11"/>
  <c r="O668" i="11"/>
  <c r="I668" i="11"/>
  <c r="R667" i="11"/>
  <c r="O667" i="11"/>
  <c r="I667" i="11"/>
  <c r="R666" i="11"/>
  <c r="O666" i="11"/>
  <c r="I666" i="11"/>
  <c r="R665" i="11"/>
  <c r="Q665" i="11"/>
  <c r="O665" i="11"/>
  <c r="I665" i="11"/>
  <c r="R664" i="11"/>
  <c r="O664" i="11"/>
  <c r="I664" i="11"/>
  <c r="R663" i="11"/>
  <c r="O663" i="11"/>
  <c r="I663" i="11"/>
  <c r="R662" i="11"/>
  <c r="Q662" i="11"/>
  <c r="O662" i="11"/>
  <c r="I662" i="11"/>
  <c r="R661" i="11"/>
  <c r="O661" i="11"/>
  <c r="I661" i="11"/>
  <c r="R660" i="11"/>
  <c r="O660" i="11"/>
  <c r="I660" i="11"/>
  <c r="R659" i="11"/>
  <c r="O659" i="11"/>
  <c r="I659" i="11"/>
  <c r="R658" i="11"/>
  <c r="Q658" i="11"/>
  <c r="O658" i="11"/>
  <c r="I658" i="11"/>
  <c r="R657" i="11"/>
  <c r="O657" i="11"/>
  <c r="I657" i="11"/>
  <c r="R656" i="11"/>
  <c r="O656" i="11"/>
  <c r="I656" i="11"/>
  <c r="R655" i="11"/>
  <c r="O655" i="11"/>
  <c r="I655" i="11"/>
  <c r="R654" i="11"/>
  <c r="O654" i="11"/>
  <c r="I654" i="11"/>
  <c r="R653" i="11"/>
  <c r="O653" i="11"/>
  <c r="I653" i="11"/>
  <c r="R652" i="11"/>
  <c r="O652" i="11"/>
  <c r="I652" i="11"/>
  <c r="R651" i="11"/>
  <c r="O651" i="11"/>
  <c r="I651" i="11"/>
  <c r="R650" i="11"/>
  <c r="Q650" i="11"/>
  <c r="O650" i="11"/>
  <c r="I650" i="11"/>
  <c r="R648" i="11"/>
  <c r="Q648" i="11"/>
  <c r="O648" i="11"/>
  <c r="J648" i="11"/>
  <c r="R647" i="11"/>
  <c r="O647" i="11"/>
  <c r="J647" i="11"/>
  <c r="R646" i="11"/>
  <c r="O646" i="11"/>
  <c r="J646" i="11"/>
  <c r="N646" i="11" s="1"/>
  <c r="R645" i="11"/>
  <c r="O645" i="11"/>
  <c r="J645" i="11"/>
  <c r="R644" i="11"/>
  <c r="O644" i="11"/>
  <c r="J644" i="11"/>
  <c r="N644" i="11" s="1"/>
  <c r="W643" i="11"/>
  <c r="R643" i="11"/>
  <c r="R642" i="11"/>
  <c r="Q642" i="11"/>
  <c r="O642" i="11"/>
  <c r="J642" i="11"/>
  <c r="R641" i="11"/>
  <c r="O641" i="11"/>
  <c r="J641" i="11"/>
  <c r="N641" i="11" s="1"/>
  <c r="R640" i="11"/>
  <c r="Q640" i="11"/>
  <c r="O640" i="11"/>
  <c r="J640" i="11"/>
  <c r="R639" i="11"/>
  <c r="O639" i="11"/>
  <c r="J639" i="11"/>
  <c r="R638" i="11"/>
  <c r="O638" i="11"/>
  <c r="J638" i="11"/>
  <c r="N638" i="11" s="1"/>
  <c r="R637" i="11"/>
  <c r="O637" i="11"/>
  <c r="J637" i="11"/>
  <c r="R636" i="11"/>
  <c r="O636" i="11"/>
  <c r="J636" i="11"/>
  <c r="N636" i="11" s="1"/>
  <c r="R635" i="11"/>
  <c r="Q635" i="11"/>
  <c r="O635" i="11"/>
  <c r="J635" i="11"/>
  <c r="R634" i="11"/>
  <c r="Q634" i="11"/>
  <c r="O634" i="11"/>
  <c r="J634" i="11"/>
  <c r="R633" i="11"/>
  <c r="O633" i="11"/>
  <c r="J633" i="11"/>
  <c r="R632" i="11"/>
  <c r="Q632" i="11"/>
  <c r="O632" i="11"/>
  <c r="J632" i="11"/>
  <c r="R631" i="11"/>
  <c r="O631" i="11"/>
  <c r="J631" i="11"/>
  <c r="R630" i="11"/>
  <c r="O630" i="11"/>
  <c r="J630" i="11"/>
  <c r="N630" i="11" s="1"/>
  <c r="R629" i="11"/>
  <c r="O629" i="11"/>
  <c r="J629" i="11"/>
  <c r="R628" i="11"/>
  <c r="O628" i="11"/>
  <c r="J628" i="11"/>
  <c r="N628" i="11" s="1"/>
  <c r="R627" i="11"/>
  <c r="O627" i="11"/>
  <c r="J627" i="11"/>
  <c r="R626" i="11"/>
  <c r="Q626" i="11"/>
  <c r="O626" i="11"/>
  <c r="J626" i="11"/>
  <c r="R625" i="11"/>
  <c r="O625" i="11"/>
  <c r="J625" i="11"/>
  <c r="N625" i="11" s="1"/>
  <c r="R624" i="11"/>
  <c r="Q624" i="11"/>
  <c r="O624" i="11"/>
  <c r="J624" i="11"/>
  <c r="R623" i="11"/>
  <c r="O623" i="11"/>
  <c r="J623" i="11"/>
  <c r="R622" i="11"/>
  <c r="O622" i="11"/>
  <c r="J622" i="11"/>
  <c r="N622" i="11" s="1"/>
  <c r="R621" i="11"/>
  <c r="O621" i="11"/>
  <c r="J621" i="11"/>
  <c r="R620" i="11"/>
  <c r="O620" i="11"/>
  <c r="J620" i="11"/>
  <c r="N620" i="11" s="1"/>
  <c r="R619" i="11"/>
  <c r="O619" i="11"/>
  <c r="J619" i="11"/>
  <c r="R618" i="11"/>
  <c r="O618" i="11"/>
  <c r="J618" i="11"/>
  <c r="N618" i="11" s="1"/>
  <c r="R617" i="11"/>
  <c r="O617" i="11"/>
  <c r="J617" i="11"/>
  <c r="N617" i="11" s="1"/>
  <c r="R615" i="11"/>
  <c r="O615" i="11"/>
  <c r="I615" i="11"/>
  <c r="R614" i="11"/>
  <c r="O614" i="11"/>
  <c r="I614" i="11"/>
  <c r="R613" i="11"/>
  <c r="O613" i="11"/>
  <c r="I613" i="11"/>
  <c r="R612" i="11"/>
  <c r="O612" i="11"/>
  <c r="I612" i="11"/>
  <c r="R611" i="11"/>
  <c r="O611" i="11"/>
  <c r="I611" i="11"/>
  <c r="R610" i="11"/>
  <c r="O610" i="11"/>
  <c r="I610" i="11"/>
  <c r="R609" i="11"/>
  <c r="Q609" i="11"/>
  <c r="O609" i="11"/>
  <c r="I609" i="11"/>
  <c r="R608" i="11"/>
  <c r="O608" i="11"/>
  <c r="I608" i="11"/>
  <c r="R607" i="11"/>
  <c r="I607" i="11"/>
  <c r="R606" i="11"/>
  <c r="Q606" i="11"/>
  <c r="O606" i="11"/>
  <c r="I606" i="11"/>
  <c r="I605" i="11"/>
  <c r="O604" i="11"/>
  <c r="I604" i="11"/>
  <c r="R603" i="11"/>
  <c r="O603" i="11"/>
  <c r="I603" i="11"/>
  <c r="R602" i="11"/>
  <c r="Q602" i="11"/>
  <c r="O602" i="11"/>
  <c r="I602" i="11"/>
  <c r="R601" i="11"/>
  <c r="O601" i="11"/>
  <c r="I601" i="11"/>
  <c r="R600" i="11"/>
  <c r="O600" i="11"/>
  <c r="I600" i="11"/>
  <c r="R599" i="11"/>
  <c r="O599" i="11"/>
  <c r="I599" i="11"/>
  <c r="T598" i="11"/>
  <c r="S598" i="11"/>
  <c r="O598" i="11"/>
  <c r="J598" i="11"/>
  <c r="N598" i="11" s="1"/>
  <c r="I598" i="11"/>
  <c r="G598" i="11"/>
  <c r="T597" i="11"/>
  <c r="S597" i="11"/>
  <c r="O597" i="11"/>
  <c r="J597" i="11"/>
  <c r="N597" i="11" s="1"/>
  <c r="I597" i="11"/>
  <c r="G597" i="11"/>
  <c r="T596" i="11"/>
  <c r="S596" i="11"/>
  <c r="O596" i="11"/>
  <c r="J596" i="11"/>
  <c r="N596" i="11" s="1"/>
  <c r="I596" i="11"/>
  <c r="G596" i="11"/>
  <c r="R595" i="11"/>
  <c r="O595" i="11"/>
  <c r="T594" i="11"/>
  <c r="S594" i="11"/>
  <c r="O594" i="11"/>
  <c r="J594" i="11"/>
  <c r="N594" i="11" s="1"/>
  <c r="I594" i="11"/>
  <c r="G594" i="11"/>
  <c r="T593" i="11"/>
  <c r="S593" i="11"/>
  <c r="O593" i="11"/>
  <c r="J593" i="11"/>
  <c r="I593" i="11"/>
  <c r="G593" i="11"/>
  <c r="T592" i="11"/>
  <c r="S592" i="11"/>
  <c r="O592" i="11"/>
  <c r="J592" i="11"/>
  <c r="N592" i="11" s="1"/>
  <c r="I592" i="11"/>
  <c r="G592" i="11"/>
  <c r="R591" i="11"/>
  <c r="O591" i="11"/>
  <c r="R589" i="11"/>
  <c r="O589" i="11"/>
  <c r="J589" i="11"/>
  <c r="N589" i="11" s="1"/>
  <c r="R588" i="11"/>
  <c r="Q588" i="11"/>
  <c r="O588" i="11"/>
  <c r="J588" i="11"/>
  <c r="R587" i="11"/>
  <c r="O587" i="11"/>
  <c r="J587" i="11"/>
  <c r="R586" i="11"/>
  <c r="O586" i="11"/>
  <c r="J586" i="11"/>
  <c r="N586" i="11" s="1"/>
  <c r="R585" i="11"/>
  <c r="O585" i="11"/>
  <c r="J585" i="11"/>
  <c r="R584" i="11"/>
  <c r="O584" i="11"/>
  <c r="J584" i="11"/>
  <c r="N584" i="11" s="1"/>
  <c r="R583" i="11"/>
  <c r="O583" i="11"/>
  <c r="J583" i="11"/>
  <c r="R582" i="11"/>
  <c r="Q582" i="11"/>
  <c r="O582" i="11"/>
  <c r="J582" i="11"/>
  <c r="R581" i="11"/>
  <c r="O581" i="11"/>
  <c r="J581" i="11"/>
  <c r="R580" i="11"/>
  <c r="Q580" i="11"/>
  <c r="O580" i="11"/>
  <c r="J580" i="11"/>
  <c r="R579" i="11"/>
  <c r="O579" i="11"/>
  <c r="J579" i="11"/>
  <c r="R578" i="11"/>
  <c r="O578" i="11"/>
  <c r="J578" i="11"/>
  <c r="N578" i="11" s="1"/>
  <c r="R577" i="11"/>
  <c r="O577" i="11"/>
  <c r="J577" i="11"/>
  <c r="R576" i="11"/>
  <c r="O576" i="11"/>
  <c r="J576" i="11"/>
  <c r="N576" i="11" s="1"/>
  <c r="R575" i="11"/>
  <c r="O575" i="11"/>
  <c r="J575" i="11"/>
  <c r="R574" i="11"/>
  <c r="O574" i="11"/>
  <c r="J574" i="11"/>
  <c r="N574" i="11" s="1"/>
  <c r="R573" i="11"/>
  <c r="O573" i="11"/>
  <c r="J573" i="11"/>
  <c r="N573" i="11" s="1"/>
  <c r="R572" i="11"/>
  <c r="Q572" i="11"/>
  <c r="O572" i="11"/>
  <c r="J572" i="11"/>
  <c r="R571" i="11"/>
  <c r="O571" i="11"/>
  <c r="J571" i="11"/>
  <c r="R570" i="11"/>
  <c r="O570" i="11"/>
  <c r="J570" i="11"/>
  <c r="N570" i="11" s="1"/>
  <c r="R569" i="11"/>
  <c r="O569" i="11"/>
  <c r="J569" i="11"/>
  <c r="R568" i="11"/>
  <c r="O568" i="11"/>
  <c r="J568" i="11"/>
  <c r="N568" i="11" s="1"/>
  <c r="R567" i="11"/>
  <c r="O567" i="11"/>
  <c r="J567" i="11"/>
  <c r="R566" i="11"/>
  <c r="Q566" i="11"/>
  <c r="O566" i="11"/>
  <c r="J566" i="11"/>
  <c r="R565" i="11"/>
  <c r="O565" i="11"/>
  <c r="J565" i="11"/>
  <c r="N565" i="11" s="1"/>
  <c r="R564" i="11"/>
  <c r="Q564" i="11"/>
  <c r="O564" i="11"/>
  <c r="J564" i="11"/>
  <c r="R563" i="11"/>
  <c r="O563" i="11"/>
  <c r="J563" i="11"/>
  <c r="R562" i="11"/>
  <c r="O562" i="11"/>
  <c r="J562" i="11"/>
  <c r="N562" i="11" s="1"/>
  <c r="R561" i="11"/>
  <c r="O561" i="11"/>
  <c r="J561" i="11"/>
  <c r="R560" i="11"/>
  <c r="O560" i="11"/>
  <c r="J560" i="11"/>
  <c r="N560" i="11" s="1"/>
  <c r="R559" i="11"/>
  <c r="O559" i="11"/>
  <c r="J559" i="11"/>
  <c r="R558" i="11"/>
  <c r="Q558" i="11"/>
  <c r="O558" i="11"/>
  <c r="J558" i="11"/>
  <c r="I556" i="11"/>
  <c r="R555" i="11"/>
  <c r="O555" i="11"/>
  <c r="I555" i="11"/>
  <c r="R554" i="11"/>
  <c r="O554" i="11"/>
  <c r="I554" i="11"/>
  <c r="R553" i="11"/>
  <c r="O553" i="11"/>
  <c r="I553" i="11"/>
  <c r="R552" i="11"/>
  <c r="Q552" i="11"/>
  <c r="O552" i="11"/>
  <c r="I552" i="11"/>
  <c r="R551" i="11"/>
  <c r="O551" i="11"/>
  <c r="J551" i="11"/>
  <c r="I551" i="11"/>
  <c r="R550" i="11"/>
  <c r="O550" i="11"/>
  <c r="I550" i="11"/>
  <c r="R549" i="11"/>
  <c r="O549" i="11"/>
  <c r="I549" i="11"/>
  <c r="R548" i="11"/>
  <c r="O548" i="11"/>
  <c r="I548" i="11"/>
  <c r="R547" i="11"/>
  <c r="O547" i="11"/>
  <c r="I547" i="11"/>
  <c r="R546" i="11"/>
  <c r="Q546" i="11"/>
  <c r="O546" i="11"/>
  <c r="I546" i="11"/>
  <c r="R545" i="11"/>
  <c r="O545" i="11"/>
  <c r="I545" i="11"/>
  <c r="R544" i="11"/>
  <c r="O544" i="11"/>
  <c r="G544" i="11"/>
  <c r="I544" i="11" s="1"/>
  <c r="R543" i="11"/>
  <c r="O543" i="11"/>
  <c r="F543" i="11"/>
  <c r="G543" i="11" s="1"/>
  <c r="I543" i="11" s="1"/>
  <c r="R542" i="11"/>
  <c r="O542" i="11"/>
  <c r="F542" i="11"/>
  <c r="G542" i="11" s="1"/>
  <c r="I542" i="11" s="1"/>
  <c r="R541" i="11"/>
  <c r="O541" i="11"/>
  <c r="F541" i="11"/>
  <c r="G541" i="11" s="1"/>
  <c r="I541" i="11" s="1"/>
  <c r="R540" i="11"/>
  <c r="O540" i="11"/>
  <c r="F540" i="11"/>
  <c r="G540" i="11" s="1"/>
  <c r="I540" i="11" s="1"/>
  <c r="R539" i="11"/>
  <c r="O539" i="11"/>
  <c r="F539" i="11"/>
  <c r="G539" i="11" s="1"/>
  <c r="I539" i="11" s="1"/>
  <c r="R538" i="11"/>
  <c r="O538" i="11"/>
  <c r="F538" i="11"/>
  <c r="G538" i="11" s="1"/>
  <c r="I538" i="11" s="1"/>
  <c r="R537" i="11"/>
  <c r="O537" i="11"/>
  <c r="F537" i="11"/>
  <c r="G537" i="11" s="1"/>
  <c r="I537" i="11" s="1"/>
  <c r="R536" i="11"/>
  <c r="O536" i="11"/>
  <c r="F536" i="11"/>
  <c r="G536" i="11" s="1"/>
  <c r="I536" i="11" s="1"/>
  <c r="R535" i="11"/>
  <c r="O535" i="11"/>
  <c r="F535" i="11"/>
  <c r="G535" i="11" s="1"/>
  <c r="I535" i="11" s="1"/>
  <c r="R534" i="11"/>
  <c r="Q534" i="11"/>
  <c r="O534" i="11"/>
  <c r="F534" i="11"/>
  <c r="G534" i="11" s="1"/>
  <c r="I534" i="11" s="1"/>
  <c r="R533" i="11"/>
  <c r="O533" i="11"/>
  <c r="F533" i="11"/>
  <c r="G533" i="11" s="1"/>
  <c r="I533" i="11" s="1"/>
  <c r="R532" i="11"/>
  <c r="O532" i="11"/>
  <c r="F532" i="11"/>
  <c r="G532" i="11" s="1"/>
  <c r="I532" i="11" s="1"/>
  <c r="F531" i="11"/>
  <c r="G531" i="11" s="1"/>
  <c r="I531" i="11" s="1"/>
  <c r="R530" i="11"/>
  <c r="O530" i="11"/>
  <c r="F530" i="11"/>
  <c r="G530" i="11" s="1"/>
  <c r="I530" i="11" s="1"/>
  <c r="R529" i="11"/>
  <c r="O529" i="11"/>
  <c r="F529" i="11"/>
  <c r="G529" i="11" s="1"/>
  <c r="I529" i="11" s="1"/>
  <c r="R528" i="11"/>
  <c r="O528" i="11"/>
  <c r="F528" i="11"/>
  <c r="G528" i="11" s="1"/>
  <c r="I528" i="11" s="1"/>
  <c r="R527" i="11"/>
  <c r="O527" i="11"/>
  <c r="F527" i="11"/>
  <c r="G527" i="11" s="1"/>
  <c r="I527" i="11" s="1"/>
  <c r="R526" i="11"/>
  <c r="O526" i="11"/>
  <c r="F526" i="11"/>
  <c r="G526" i="11" s="1"/>
  <c r="I526" i="11" s="1"/>
  <c r="R525" i="11"/>
  <c r="Q525" i="11"/>
  <c r="O525" i="11"/>
  <c r="G525" i="11"/>
  <c r="I525" i="11" s="1"/>
  <c r="F525" i="11"/>
  <c r="R524" i="11"/>
  <c r="O524" i="11"/>
  <c r="F524" i="11"/>
  <c r="G524" i="11" s="1"/>
  <c r="I524" i="11" s="1"/>
  <c r="R523" i="11"/>
  <c r="O523" i="11"/>
  <c r="F523" i="11"/>
  <c r="G523" i="11" s="1"/>
  <c r="I523" i="11" s="1"/>
  <c r="R522" i="11"/>
  <c r="O522" i="11"/>
  <c r="G522" i="11"/>
  <c r="I522" i="11" s="1"/>
  <c r="R521" i="11"/>
  <c r="O521" i="11"/>
  <c r="I521" i="11"/>
  <c r="R520" i="11"/>
  <c r="Q520" i="11"/>
  <c r="O520" i="11"/>
  <c r="I520" i="11"/>
  <c r="R519" i="11"/>
  <c r="O519" i="11"/>
  <c r="G519" i="11"/>
  <c r="I519" i="11" s="1"/>
  <c r="R518" i="11"/>
  <c r="Q518" i="11"/>
  <c r="O518" i="11"/>
  <c r="H518" i="11"/>
  <c r="G518" i="11"/>
  <c r="T517" i="11"/>
  <c r="S517" i="11"/>
  <c r="O517" i="11"/>
  <c r="J517" i="11"/>
  <c r="I517" i="11"/>
  <c r="G517" i="11"/>
  <c r="T516" i="11"/>
  <c r="S516" i="11"/>
  <c r="O516" i="11"/>
  <c r="J516" i="11"/>
  <c r="N516" i="11" s="1"/>
  <c r="I516" i="11"/>
  <c r="G516" i="11"/>
  <c r="T515" i="11"/>
  <c r="S515" i="11"/>
  <c r="O515" i="11"/>
  <c r="J515" i="11"/>
  <c r="I515" i="11"/>
  <c r="G515" i="11"/>
  <c r="T514" i="11"/>
  <c r="S514" i="11"/>
  <c r="O514" i="11"/>
  <c r="J514" i="11"/>
  <c r="I514" i="11"/>
  <c r="G514" i="11"/>
  <c r="T513" i="11"/>
  <c r="S513" i="11"/>
  <c r="O513" i="11"/>
  <c r="J513" i="11"/>
  <c r="I513" i="11"/>
  <c r="G513" i="11"/>
  <c r="R512" i="11"/>
  <c r="O512" i="11"/>
  <c r="T511" i="11"/>
  <c r="S511" i="11"/>
  <c r="O511" i="11"/>
  <c r="J511" i="11"/>
  <c r="I511" i="11"/>
  <c r="G511" i="11"/>
  <c r="T510" i="11"/>
  <c r="S510" i="11"/>
  <c r="O510" i="11"/>
  <c r="J510" i="11"/>
  <c r="I510" i="11"/>
  <c r="G510" i="11"/>
  <c r="T509" i="11"/>
  <c r="S509" i="11"/>
  <c r="O509" i="11"/>
  <c r="J509" i="11"/>
  <c r="I509" i="11"/>
  <c r="G509" i="11"/>
  <c r="T508" i="11"/>
  <c r="S508" i="11"/>
  <c r="O508" i="11"/>
  <c r="J508" i="11"/>
  <c r="N508" i="11" s="1"/>
  <c r="I508" i="11"/>
  <c r="G508" i="11"/>
  <c r="R507" i="11"/>
  <c r="O507" i="11"/>
  <c r="T506" i="11"/>
  <c r="S506" i="11"/>
  <c r="O506" i="11"/>
  <c r="J506" i="11"/>
  <c r="I506" i="11"/>
  <c r="G506" i="11"/>
  <c r="T505" i="11"/>
  <c r="S505" i="11"/>
  <c r="O505" i="11"/>
  <c r="J505" i="11"/>
  <c r="I505" i="11"/>
  <c r="G505" i="11"/>
  <c r="T504" i="11"/>
  <c r="S504" i="11"/>
  <c r="O504" i="11"/>
  <c r="J504" i="11"/>
  <c r="I504" i="11"/>
  <c r="G504" i="11"/>
  <c r="T503" i="11"/>
  <c r="S503" i="11"/>
  <c r="O503" i="11"/>
  <c r="J503" i="11"/>
  <c r="I503" i="11"/>
  <c r="G503" i="11"/>
  <c r="R502" i="11"/>
  <c r="Q502" i="11"/>
  <c r="O502" i="11"/>
  <c r="T501" i="11"/>
  <c r="S501" i="11"/>
  <c r="O501" i="11"/>
  <c r="J501" i="11"/>
  <c r="N501" i="11" s="1"/>
  <c r="I501" i="11"/>
  <c r="G501" i="11"/>
  <c r="T500" i="11"/>
  <c r="S500" i="11"/>
  <c r="O500" i="11"/>
  <c r="J500" i="11"/>
  <c r="N500" i="11" s="1"/>
  <c r="I500" i="11"/>
  <c r="G500" i="11"/>
  <c r="T499" i="11"/>
  <c r="S499" i="11"/>
  <c r="O499" i="11"/>
  <c r="J499" i="11"/>
  <c r="I499" i="11"/>
  <c r="G499" i="11"/>
  <c r="T498" i="11"/>
  <c r="S498" i="11"/>
  <c r="O498" i="11"/>
  <c r="J498" i="11"/>
  <c r="N498" i="11" s="1"/>
  <c r="I498" i="11"/>
  <c r="G498" i="11"/>
  <c r="R497" i="11"/>
  <c r="O497" i="11"/>
  <c r="T496" i="11"/>
  <c r="S496" i="11"/>
  <c r="O496" i="11"/>
  <c r="J496" i="11"/>
  <c r="I496" i="11"/>
  <c r="G496" i="11"/>
  <c r="T495" i="11"/>
  <c r="S495" i="11"/>
  <c r="O495" i="11"/>
  <c r="J495" i="11"/>
  <c r="I495" i="11"/>
  <c r="G495" i="11"/>
  <c r="T494" i="11"/>
  <c r="S494" i="11"/>
  <c r="O494" i="11"/>
  <c r="J494" i="11"/>
  <c r="N494" i="11" s="1"/>
  <c r="I494" i="11"/>
  <c r="G494" i="11"/>
  <c r="R493" i="11"/>
  <c r="O493" i="11"/>
  <c r="T492" i="11"/>
  <c r="S492" i="11"/>
  <c r="O492" i="11"/>
  <c r="J492" i="11"/>
  <c r="N492" i="11" s="1"/>
  <c r="I492" i="11"/>
  <c r="G492" i="11"/>
  <c r="T491" i="11"/>
  <c r="S491" i="11"/>
  <c r="O491" i="11"/>
  <c r="J491" i="11"/>
  <c r="I491" i="11"/>
  <c r="G491" i="11"/>
  <c r="T490" i="11"/>
  <c r="S490" i="11"/>
  <c r="O490" i="11"/>
  <c r="J490" i="11"/>
  <c r="N490" i="11" s="1"/>
  <c r="I490" i="11"/>
  <c r="G490" i="11"/>
  <c r="R489" i="11"/>
  <c r="O489" i="11"/>
  <c r="T488" i="11"/>
  <c r="S488" i="11"/>
  <c r="O488" i="11"/>
  <c r="J488" i="11"/>
  <c r="I488" i="11"/>
  <c r="G488" i="11"/>
  <c r="T487" i="11"/>
  <c r="S487" i="11"/>
  <c r="O487" i="11"/>
  <c r="J487" i="11"/>
  <c r="I487" i="11"/>
  <c r="G487" i="11"/>
  <c r="R486" i="11"/>
  <c r="O486" i="11"/>
  <c r="R485" i="11"/>
  <c r="O485" i="11"/>
  <c r="G485" i="11"/>
  <c r="R484" i="11"/>
  <c r="Q484" i="11"/>
  <c r="O484" i="11"/>
  <c r="G484" i="11"/>
  <c r="R483" i="11"/>
  <c r="O483" i="11"/>
  <c r="G483" i="11"/>
  <c r="R482" i="11"/>
  <c r="Q482" i="11"/>
  <c r="O482" i="11"/>
  <c r="G482" i="11"/>
  <c r="R481" i="11"/>
  <c r="O481" i="11"/>
  <c r="G481" i="11"/>
  <c r="I481" i="11" s="1"/>
  <c r="R480" i="11"/>
  <c r="O480" i="11"/>
  <c r="G480" i="11"/>
  <c r="I480" i="11" s="1"/>
  <c r="R479" i="11"/>
  <c r="O479" i="11"/>
  <c r="G479" i="11"/>
  <c r="I479" i="11" s="1"/>
  <c r="R478" i="11"/>
  <c r="Q478" i="11"/>
  <c r="O478" i="11"/>
  <c r="G478" i="11"/>
  <c r="I478" i="11" s="1"/>
  <c r="R477" i="11"/>
  <c r="Q477" i="11"/>
  <c r="O477" i="11"/>
  <c r="G477" i="11"/>
  <c r="I477" i="11" s="1"/>
  <c r="R476" i="11"/>
  <c r="O476" i="11"/>
  <c r="G476" i="11"/>
  <c r="I476" i="11" s="1"/>
  <c r="R475" i="11"/>
  <c r="O475" i="11"/>
  <c r="G475" i="11"/>
  <c r="I475" i="11" s="1"/>
  <c r="R474" i="11"/>
  <c r="O474" i="11"/>
  <c r="G474" i="11"/>
  <c r="I474" i="11" s="1"/>
  <c r="R473" i="11"/>
  <c r="O473" i="11"/>
  <c r="G473" i="11"/>
  <c r="I473" i="11" s="1"/>
  <c r="R472" i="11"/>
  <c r="Q472" i="11"/>
  <c r="O472" i="11"/>
  <c r="I472" i="11"/>
  <c r="R471" i="11"/>
  <c r="O471" i="11"/>
  <c r="I471" i="11"/>
  <c r="R470" i="11"/>
  <c r="Q470" i="11"/>
  <c r="O470" i="11"/>
  <c r="I470" i="11"/>
  <c r="T469" i="11"/>
  <c r="S469" i="11"/>
  <c r="O469" i="11"/>
  <c r="J469" i="11"/>
  <c r="N469" i="11" s="1"/>
  <c r="I469" i="11"/>
  <c r="G469" i="11"/>
  <c r="T468" i="11"/>
  <c r="S468" i="11"/>
  <c r="O468" i="11"/>
  <c r="J468" i="11"/>
  <c r="N468" i="11" s="1"/>
  <c r="I468" i="11"/>
  <c r="G468" i="11"/>
  <c r="T467" i="11"/>
  <c r="S467" i="11"/>
  <c r="O467" i="11"/>
  <c r="J467" i="11"/>
  <c r="I467" i="11"/>
  <c r="G467" i="11"/>
  <c r="R466" i="11"/>
  <c r="O466" i="11"/>
  <c r="T465" i="11"/>
  <c r="S465" i="11"/>
  <c r="O465" i="11"/>
  <c r="J465" i="11"/>
  <c r="I465" i="11"/>
  <c r="G465" i="11"/>
  <c r="T464" i="11"/>
  <c r="S464" i="11"/>
  <c r="O464" i="11"/>
  <c r="J464" i="11"/>
  <c r="N464" i="11" s="1"/>
  <c r="I464" i="11"/>
  <c r="G464" i="11"/>
  <c r="T463" i="11"/>
  <c r="S463" i="11"/>
  <c r="O463" i="11"/>
  <c r="J463" i="11"/>
  <c r="I463" i="11"/>
  <c r="G463" i="11"/>
  <c r="R462" i="11"/>
  <c r="O462" i="11"/>
  <c r="T461" i="11"/>
  <c r="S461" i="11"/>
  <c r="O461" i="11"/>
  <c r="J461" i="11"/>
  <c r="I461" i="11"/>
  <c r="G461" i="11"/>
  <c r="T460" i="11"/>
  <c r="S460" i="11"/>
  <c r="O460" i="11"/>
  <c r="J460" i="11"/>
  <c r="I460" i="11"/>
  <c r="G460" i="11"/>
  <c r="T459" i="11"/>
  <c r="S459" i="11"/>
  <c r="O459" i="11"/>
  <c r="J459" i="11"/>
  <c r="I459" i="11"/>
  <c r="G459" i="11"/>
  <c r="R458" i="11"/>
  <c r="Q458" i="11"/>
  <c r="O458" i="11"/>
  <c r="T457" i="11"/>
  <c r="S457" i="11"/>
  <c r="O457" i="11"/>
  <c r="J457" i="11"/>
  <c r="I457" i="11"/>
  <c r="G457" i="11"/>
  <c r="T456" i="11"/>
  <c r="S456" i="11"/>
  <c r="O456" i="11"/>
  <c r="J456" i="11"/>
  <c r="N456" i="11" s="1"/>
  <c r="I456" i="11"/>
  <c r="G456" i="11"/>
  <c r="T455" i="11"/>
  <c r="S455" i="11"/>
  <c r="O455" i="11"/>
  <c r="J455" i="11"/>
  <c r="I455" i="11"/>
  <c r="G455" i="11"/>
  <c r="R454" i="11"/>
  <c r="O454" i="11"/>
  <c r="R453" i="11"/>
  <c r="O453" i="11"/>
  <c r="G453" i="11"/>
  <c r="I453" i="11" s="1"/>
  <c r="R452" i="11"/>
  <c r="Q452" i="11"/>
  <c r="O452" i="11"/>
  <c r="G452" i="11"/>
  <c r="I452" i="11" s="1"/>
  <c r="R451" i="11"/>
  <c r="O451" i="11"/>
  <c r="G451" i="11"/>
  <c r="I451" i="11" s="1"/>
  <c r="R450" i="11"/>
  <c r="Q450" i="11"/>
  <c r="O450" i="11"/>
  <c r="G450" i="11"/>
  <c r="I450" i="11" s="1"/>
  <c r="R449" i="11"/>
  <c r="O449" i="11"/>
  <c r="G449" i="11"/>
  <c r="I449" i="11" s="1"/>
  <c r="Q448" i="11"/>
  <c r="O448" i="11"/>
  <c r="G448" i="11"/>
  <c r="I448" i="11" s="1"/>
  <c r="R447" i="11"/>
  <c r="O447" i="11"/>
  <c r="G447" i="11"/>
  <c r="I447" i="11" s="1"/>
  <c r="T446" i="11"/>
  <c r="S446" i="11"/>
  <c r="O446" i="11"/>
  <c r="J446" i="11"/>
  <c r="I446" i="11"/>
  <c r="G446" i="11"/>
  <c r="T445" i="11"/>
  <c r="S445" i="11"/>
  <c r="O445" i="11"/>
  <c r="J445" i="11"/>
  <c r="I445" i="11"/>
  <c r="G445" i="11"/>
  <c r="T444" i="11"/>
  <c r="S444" i="11"/>
  <c r="O444" i="11"/>
  <c r="J444" i="11"/>
  <c r="N444" i="11" s="1"/>
  <c r="I444" i="11"/>
  <c r="G444" i="11"/>
  <c r="R443" i="11"/>
  <c r="O443" i="11"/>
  <c r="Q442" i="11"/>
  <c r="O442" i="11"/>
  <c r="I442" i="11"/>
  <c r="R441" i="11"/>
  <c r="O441" i="11"/>
  <c r="I441" i="11"/>
  <c r="R440" i="11"/>
  <c r="O440" i="11"/>
  <c r="I440" i="11"/>
  <c r="R439" i="11"/>
  <c r="Q439" i="11"/>
  <c r="O439" i="11"/>
  <c r="I439" i="11"/>
  <c r="R438" i="11"/>
  <c r="Q438" i="11"/>
  <c r="O438" i="11"/>
  <c r="I438" i="11"/>
  <c r="R437" i="11"/>
  <c r="O437" i="11"/>
  <c r="I437" i="11"/>
  <c r="R436" i="11"/>
  <c r="Q436" i="11"/>
  <c r="O436" i="11"/>
  <c r="I436" i="11"/>
  <c r="R434" i="11"/>
  <c r="Q434" i="11"/>
  <c r="O434" i="11"/>
  <c r="J434" i="11"/>
  <c r="N434" i="11" s="1"/>
  <c r="R433" i="11"/>
  <c r="O433" i="11"/>
  <c r="J433" i="11"/>
  <c r="R432" i="11"/>
  <c r="O432" i="11"/>
  <c r="J432" i="11"/>
  <c r="R431" i="11"/>
  <c r="Q431" i="11"/>
  <c r="O431" i="11"/>
  <c r="J431" i="11"/>
  <c r="R430" i="11"/>
  <c r="Q430" i="11"/>
  <c r="O430" i="11"/>
  <c r="J430" i="11"/>
  <c r="N430" i="11" s="1"/>
  <c r="R429" i="11"/>
  <c r="O429" i="11"/>
  <c r="J429" i="11"/>
  <c r="R428" i="11"/>
  <c r="O428" i="11"/>
  <c r="J428" i="11"/>
  <c r="N428" i="11" s="1"/>
  <c r="R427" i="11"/>
  <c r="Q427" i="11"/>
  <c r="O427" i="11"/>
  <c r="J427" i="11"/>
  <c r="N427" i="11" s="1"/>
  <c r="R426" i="11"/>
  <c r="Q426" i="11"/>
  <c r="O426" i="11"/>
  <c r="J426" i="11"/>
  <c r="N426" i="11" s="1"/>
  <c r="R425" i="11"/>
  <c r="O425" i="11"/>
  <c r="J425" i="11"/>
  <c r="R424" i="11"/>
  <c r="O424" i="11"/>
  <c r="J424" i="11"/>
  <c r="R423" i="11"/>
  <c r="O423" i="11"/>
  <c r="J423" i="11"/>
  <c r="N423" i="11" s="1"/>
  <c r="R422" i="11"/>
  <c r="Q422" i="11"/>
  <c r="O422" i="11"/>
  <c r="J422" i="11"/>
  <c r="N422" i="11" s="1"/>
  <c r="R421" i="11"/>
  <c r="O421" i="11"/>
  <c r="J421" i="11"/>
  <c r="R420" i="11"/>
  <c r="O420" i="11"/>
  <c r="J420" i="11"/>
  <c r="R419" i="11"/>
  <c r="Q419" i="11"/>
  <c r="O419" i="11"/>
  <c r="J419" i="11"/>
  <c r="R418" i="11"/>
  <c r="Q418" i="11"/>
  <c r="O418" i="11"/>
  <c r="J418" i="11"/>
  <c r="N418" i="11" s="1"/>
  <c r="R417" i="11"/>
  <c r="O417" i="11"/>
  <c r="J417" i="11"/>
  <c r="R416" i="11"/>
  <c r="O416" i="11"/>
  <c r="J416" i="11"/>
  <c r="R415" i="11"/>
  <c r="O415" i="11"/>
  <c r="J415" i="11"/>
  <c r="R414" i="11"/>
  <c r="Q414" i="11"/>
  <c r="O414" i="11"/>
  <c r="J414" i="11"/>
  <c r="N414" i="11" s="1"/>
  <c r="R413" i="11"/>
  <c r="O413" i="11"/>
  <c r="J413" i="11"/>
  <c r="R412" i="11"/>
  <c r="O412" i="11"/>
  <c r="J412" i="11"/>
  <c r="R411" i="11"/>
  <c r="Q411" i="11"/>
  <c r="O411" i="11"/>
  <c r="J411" i="11"/>
  <c r="R410" i="11"/>
  <c r="Q410" i="11"/>
  <c r="O410" i="11"/>
  <c r="J410" i="11"/>
  <c r="N410" i="11" s="1"/>
  <c r="R408" i="11"/>
  <c r="O408" i="11"/>
  <c r="G408" i="11"/>
  <c r="I408" i="11" s="1"/>
  <c r="T407" i="11"/>
  <c r="S407" i="11"/>
  <c r="O407" i="11"/>
  <c r="J407" i="11"/>
  <c r="I407" i="11"/>
  <c r="G407" i="11"/>
  <c r="T406" i="11"/>
  <c r="S406" i="11"/>
  <c r="O406" i="11"/>
  <c r="J406" i="11"/>
  <c r="N406" i="11" s="1"/>
  <c r="I406" i="11"/>
  <c r="G406" i="11"/>
  <c r="T405" i="11"/>
  <c r="S405" i="11"/>
  <c r="O405" i="11"/>
  <c r="I405" i="11"/>
  <c r="G405" i="11"/>
  <c r="R404" i="11"/>
  <c r="O404" i="11"/>
  <c r="R403" i="11"/>
  <c r="Q403" i="11"/>
  <c r="O403" i="11"/>
  <c r="G403" i="11"/>
  <c r="I403" i="11" s="1"/>
  <c r="T402" i="11"/>
  <c r="S402" i="11"/>
  <c r="O402" i="11"/>
  <c r="J402" i="11"/>
  <c r="N402" i="11" s="1"/>
  <c r="I402" i="11"/>
  <c r="G402" i="11"/>
  <c r="T401" i="11"/>
  <c r="S401" i="11"/>
  <c r="O401" i="11"/>
  <c r="J401" i="11"/>
  <c r="I401" i="11"/>
  <c r="G401" i="11"/>
  <c r="T400" i="11"/>
  <c r="S400" i="11"/>
  <c r="O400" i="11"/>
  <c r="I400" i="11"/>
  <c r="G400" i="11"/>
  <c r="R399" i="11"/>
  <c r="Q399" i="11"/>
  <c r="O399" i="11"/>
  <c r="R398" i="11"/>
  <c r="Q398" i="11"/>
  <c r="O398" i="11"/>
  <c r="G398" i="11"/>
  <c r="I398" i="11" s="1"/>
  <c r="T397" i="11"/>
  <c r="S397" i="11"/>
  <c r="O397" i="11"/>
  <c r="J397" i="11"/>
  <c r="I397" i="11"/>
  <c r="G397" i="11"/>
  <c r="T396" i="11"/>
  <c r="S396" i="11"/>
  <c r="O396" i="11"/>
  <c r="J396" i="11"/>
  <c r="I396" i="11"/>
  <c r="G396" i="11"/>
  <c r="T395" i="11"/>
  <c r="S395" i="11"/>
  <c r="O395" i="11"/>
  <c r="I395" i="11"/>
  <c r="G395" i="11"/>
  <c r="R394" i="11"/>
  <c r="Q394" i="11"/>
  <c r="O394" i="11"/>
  <c r="R393" i="11"/>
  <c r="Q393" i="11"/>
  <c r="O393" i="11"/>
  <c r="G393" i="11"/>
  <c r="I393" i="11" s="1"/>
  <c r="T392" i="11"/>
  <c r="S392" i="11"/>
  <c r="O392" i="11"/>
  <c r="J392" i="11"/>
  <c r="I392" i="11"/>
  <c r="G392" i="11"/>
  <c r="T391" i="11"/>
  <c r="S391" i="11"/>
  <c r="O391" i="11"/>
  <c r="J391" i="11"/>
  <c r="I391" i="11"/>
  <c r="G391" i="11"/>
  <c r="T390" i="11"/>
  <c r="S390" i="11"/>
  <c r="O390" i="11"/>
  <c r="N390" i="11"/>
  <c r="I390" i="11"/>
  <c r="G390" i="11"/>
  <c r="R389" i="11"/>
  <c r="O389" i="11"/>
  <c r="R388" i="11"/>
  <c r="O388" i="11"/>
  <c r="F388" i="11"/>
  <c r="G388" i="11" s="1"/>
  <c r="I388" i="11" s="1"/>
  <c r="T387" i="11"/>
  <c r="S387" i="11"/>
  <c r="O387" i="11"/>
  <c r="J387" i="11"/>
  <c r="N387" i="11" s="1"/>
  <c r="I387" i="11"/>
  <c r="G387" i="11"/>
  <c r="T386" i="11"/>
  <c r="S386" i="11"/>
  <c r="O386" i="11"/>
  <c r="J386" i="11"/>
  <c r="N386" i="11" s="1"/>
  <c r="I386" i="11"/>
  <c r="G386" i="11"/>
  <c r="T385" i="11"/>
  <c r="S385" i="11"/>
  <c r="O385" i="11"/>
  <c r="J385" i="11"/>
  <c r="I385" i="11"/>
  <c r="G385" i="11"/>
  <c r="R384" i="11"/>
  <c r="O384" i="11"/>
  <c r="R383" i="11"/>
  <c r="O383" i="11"/>
  <c r="I383" i="11"/>
  <c r="R382" i="11"/>
  <c r="Q382" i="11"/>
  <c r="O382" i="11"/>
  <c r="I382" i="11"/>
  <c r="R381" i="11"/>
  <c r="O381" i="11"/>
  <c r="I381" i="11"/>
  <c r="R379" i="11"/>
  <c r="Q379" i="11"/>
  <c r="O379" i="11"/>
  <c r="J379" i="11"/>
  <c r="R378" i="11"/>
  <c r="Q378" i="11"/>
  <c r="O378" i="11"/>
  <c r="J378" i="11"/>
  <c r="N378" i="11" s="1"/>
  <c r="R377" i="11"/>
  <c r="O377" i="11"/>
  <c r="J377" i="11"/>
  <c r="R376" i="11"/>
  <c r="O376" i="11"/>
  <c r="J376" i="11"/>
  <c r="N376" i="11" s="1"/>
  <c r="R375" i="11"/>
  <c r="Q375" i="11"/>
  <c r="O375" i="11"/>
  <c r="J375" i="11"/>
  <c r="R374" i="11"/>
  <c r="Q374" i="11"/>
  <c r="O374" i="11"/>
  <c r="J374" i="11"/>
  <c r="N374" i="11" s="1"/>
  <c r="R373" i="11"/>
  <c r="O373" i="11"/>
  <c r="J373" i="11"/>
  <c r="R372" i="11"/>
  <c r="O372" i="11"/>
  <c r="J372" i="11"/>
  <c r="R371" i="11"/>
  <c r="O371" i="11"/>
  <c r="J371" i="11"/>
  <c r="R370" i="11"/>
  <c r="Q370" i="11"/>
  <c r="O370" i="11"/>
  <c r="J370" i="11"/>
  <c r="N370" i="11" s="1"/>
  <c r="R369" i="11"/>
  <c r="O369" i="11"/>
  <c r="J369" i="11"/>
  <c r="R368" i="11"/>
  <c r="O368" i="11"/>
  <c r="J368" i="11"/>
  <c r="N368" i="11" s="1"/>
  <c r="R367" i="11"/>
  <c r="Q367" i="11"/>
  <c r="O367" i="11"/>
  <c r="J367" i="11"/>
  <c r="R366" i="11"/>
  <c r="Q366" i="11"/>
  <c r="O366" i="11"/>
  <c r="J366" i="11"/>
  <c r="N366" i="11" s="1"/>
  <c r="R365" i="11"/>
  <c r="O365" i="11"/>
  <c r="J365" i="11"/>
  <c r="R364" i="11"/>
  <c r="O364" i="11"/>
  <c r="J364" i="11"/>
  <c r="R363" i="11"/>
  <c r="O363" i="11"/>
  <c r="J363" i="11"/>
  <c r="R362" i="11"/>
  <c r="Q362" i="11"/>
  <c r="O362" i="11"/>
  <c r="J362" i="11"/>
  <c r="N362" i="11" s="1"/>
  <c r="R361" i="11"/>
  <c r="O361" i="11"/>
  <c r="J361" i="11"/>
  <c r="R360" i="11"/>
  <c r="O360" i="11"/>
  <c r="J360" i="11"/>
  <c r="R359" i="11"/>
  <c r="Q359" i="11"/>
  <c r="O359" i="11"/>
  <c r="J359" i="11"/>
  <c r="R358" i="11"/>
  <c r="Q358" i="11"/>
  <c r="O358" i="11"/>
  <c r="J358" i="11"/>
  <c r="N358" i="11" s="1"/>
  <c r="R357" i="11"/>
  <c r="O357" i="11"/>
  <c r="J357" i="11"/>
  <c r="R356" i="11"/>
  <c r="O356" i="11"/>
  <c r="J356" i="11"/>
  <c r="N356" i="11" s="1"/>
  <c r="R355" i="11"/>
  <c r="O355" i="11"/>
  <c r="J355" i="11"/>
  <c r="R353" i="11"/>
  <c r="O353" i="11"/>
  <c r="G353" i="11"/>
  <c r="I353" i="11" s="1"/>
  <c r="R352" i="11"/>
  <c r="O352" i="11"/>
  <c r="G352" i="11"/>
  <c r="I352" i="11" s="1"/>
  <c r="T351" i="11"/>
  <c r="S351" i="11"/>
  <c r="O351" i="11"/>
  <c r="J351" i="11"/>
  <c r="N351" i="11" s="1"/>
  <c r="I351" i="11"/>
  <c r="G351" i="11"/>
  <c r="T350" i="11"/>
  <c r="S350" i="11"/>
  <c r="O350" i="11"/>
  <c r="J350" i="11"/>
  <c r="N350" i="11" s="1"/>
  <c r="I350" i="11"/>
  <c r="G350" i="11"/>
  <c r="T349" i="11"/>
  <c r="S349" i="11"/>
  <c r="O349" i="11"/>
  <c r="J349" i="11"/>
  <c r="I349" i="11"/>
  <c r="G349" i="11"/>
  <c r="T348" i="11"/>
  <c r="S348" i="11"/>
  <c r="O348" i="11"/>
  <c r="J348" i="11"/>
  <c r="I348" i="11"/>
  <c r="G348" i="11"/>
  <c r="T347" i="11"/>
  <c r="S347" i="11"/>
  <c r="O347" i="11"/>
  <c r="J347" i="11"/>
  <c r="N347" i="11" s="1"/>
  <c r="I347" i="11"/>
  <c r="G347" i="11"/>
  <c r="R346" i="11"/>
  <c r="Q346" i="11"/>
  <c r="O346" i="11"/>
  <c r="T345" i="11"/>
  <c r="S345" i="11"/>
  <c r="O345" i="11"/>
  <c r="J345" i="11"/>
  <c r="I345" i="11"/>
  <c r="G345" i="11"/>
  <c r="T344" i="11"/>
  <c r="S344" i="11"/>
  <c r="O344" i="11"/>
  <c r="J344" i="11"/>
  <c r="I344" i="11"/>
  <c r="G344" i="11"/>
  <c r="T343" i="11"/>
  <c r="S343" i="11"/>
  <c r="O343" i="11"/>
  <c r="J343" i="11"/>
  <c r="I343" i="11"/>
  <c r="G343" i="11"/>
  <c r="T342" i="11"/>
  <c r="S342" i="11"/>
  <c r="O342" i="11"/>
  <c r="J342" i="11"/>
  <c r="N342" i="11" s="1"/>
  <c r="I342" i="11"/>
  <c r="G342" i="11"/>
  <c r="T341" i="11"/>
  <c r="S341" i="11"/>
  <c r="O341" i="11"/>
  <c r="J341" i="11"/>
  <c r="I341" i="11"/>
  <c r="G341" i="11"/>
  <c r="R340" i="11"/>
  <c r="O340" i="11"/>
  <c r="T339" i="11"/>
  <c r="S339" i="11"/>
  <c r="O339" i="11"/>
  <c r="J339" i="11"/>
  <c r="N339" i="11" s="1"/>
  <c r="I339" i="11"/>
  <c r="G339" i="11"/>
  <c r="T338" i="11"/>
  <c r="S338" i="11"/>
  <c r="O338" i="11"/>
  <c r="J338" i="11"/>
  <c r="N338" i="11" s="1"/>
  <c r="I338" i="11"/>
  <c r="G338" i="11"/>
  <c r="T337" i="11"/>
  <c r="S337" i="11"/>
  <c r="O337" i="11"/>
  <c r="J337" i="11"/>
  <c r="I337" i="11"/>
  <c r="G337" i="11"/>
  <c r="T336" i="11"/>
  <c r="S336" i="11"/>
  <c r="O336" i="11"/>
  <c r="J336" i="11"/>
  <c r="I336" i="11"/>
  <c r="G336" i="11"/>
  <c r="T335" i="11"/>
  <c r="S335" i="11"/>
  <c r="O335" i="11"/>
  <c r="J335" i="11"/>
  <c r="N335" i="11" s="1"/>
  <c r="I335" i="11"/>
  <c r="G335" i="11"/>
  <c r="R334" i="11"/>
  <c r="Q334" i="11"/>
  <c r="O334" i="11"/>
  <c r="T333" i="11"/>
  <c r="S333" i="11"/>
  <c r="O333" i="11"/>
  <c r="J333" i="11"/>
  <c r="I333" i="11"/>
  <c r="G333" i="11"/>
  <c r="T332" i="11"/>
  <c r="S332" i="11"/>
  <c r="O332" i="11"/>
  <c r="J332" i="11"/>
  <c r="I332" i="11"/>
  <c r="G332" i="11"/>
  <c r="T331" i="11"/>
  <c r="S331" i="11"/>
  <c r="O331" i="11"/>
  <c r="J331" i="11"/>
  <c r="I331" i="11"/>
  <c r="G331" i="11"/>
  <c r="T330" i="11"/>
  <c r="S330" i="11"/>
  <c r="O330" i="11"/>
  <c r="J330" i="11"/>
  <c r="N330" i="11" s="1"/>
  <c r="I330" i="11"/>
  <c r="G330" i="11"/>
  <c r="T329" i="11"/>
  <c r="S329" i="11"/>
  <c r="O329" i="11"/>
  <c r="J329" i="11"/>
  <c r="I329" i="11"/>
  <c r="G329" i="11"/>
  <c r="T327" i="11"/>
  <c r="S327" i="11"/>
  <c r="O327" i="11"/>
  <c r="J327" i="11"/>
  <c r="N327" i="11" s="1"/>
  <c r="I327" i="11"/>
  <c r="G327" i="11"/>
  <c r="T326" i="11"/>
  <c r="S326" i="11"/>
  <c r="O326" i="11"/>
  <c r="J326" i="11"/>
  <c r="N326" i="11" s="1"/>
  <c r="I326" i="11"/>
  <c r="G326" i="11"/>
  <c r="T325" i="11"/>
  <c r="S325" i="11"/>
  <c r="O325" i="11"/>
  <c r="J325" i="11"/>
  <c r="N325" i="11" s="1"/>
  <c r="I325" i="11"/>
  <c r="G325" i="11"/>
  <c r="T324" i="11"/>
  <c r="S324" i="11"/>
  <c r="O324" i="11"/>
  <c r="J324" i="11"/>
  <c r="I324" i="11"/>
  <c r="G324" i="11"/>
  <c r="T323" i="11"/>
  <c r="S323" i="11"/>
  <c r="O323" i="11"/>
  <c r="J323" i="11"/>
  <c r="N323" i="11" s="1"/>
  <c r="I323" i="11"/>
  <c r="G323" i="11"/>
  <c r="T321" i="11"/>
  <c r="S321" i="11"/>
  <c r="O321" i="11"/>
  <c r="J321" i="11"/>
  <c r="I321" i="11"/>
  <c r="G321" i="11"/>
  <c r="T320" i="11"/>
  <c r="S320" i="11"/>
  <c r="O320" i="11"/>
  <c r="J320" i="11"/>
  <c r="I320" i="11"/>
  <c r="G320" i="11"/>
  <c r="T319" i="11"/>
  <c r="S319" i="11"/>
  <c r="O319" i="11"/>
  <c r="J319" i="11"/>
  <c r="I319" i="11"/>
  <c r="G319" i="11"/>
  <c r="T318" i="11"/>
  <c r="S318" i="11"/>
  <c r="O318" i="11"/>
  <c r="J318" i="11"/>
  <c r="I318" i="11"/>
  <c r="G318" i="11"/>
  <c r="R317" i="11"/>
  <c r="Q317" i="11"/>
  <c r="O317" i="11"/>
  <c r="T316" i="11"/>
  <c r="S316" i="11"/>
  <c r="O316" i="11"/>
  <c r="J316" i="11"/>
  <c r="I316" i="11"/>
  <c r="G316" i="11"/>
  <c r="T315" i="11"/>
  <c r="S315" i="11"/>
  <c r="O315" i="11"/>
  <c r="J315" i="11"/>
  <c r="I315" i="11"/>
  <c r="G315" i="11"/>
  <c r="T314" i="11"/>
  <c r="S314" i="11"/>
  <c r="O314" i="11"/>
  <c r="J314" i="11"/>
  <c r="I314" i="11"/>
  <c r="G314" i="11"/>
  <c r="T313" i="11"/>
  <c r="S313" i="11"/>
  <c r="O313" i="11"/>
  <c r="J313" i="11"/>
  <c r="I313" i="11"/>
  <c r="G313" i="11"/>
  <c r="R312" i="11"/>
  <c r="Q312" i="11"/>
  <c r="O312" i="11"/>
  <c r="T311" i="11"/>
  <c r="S311" i="11"/>
  <c r="O311" i="11"/>
  <c r="J311" i="11"/>
  <c r="I311" i="11"/>
  <c r="G311" i="11"/>
  <c r="T310" i="11"/>
  <c r="S310" i="11"/>
  <c r="O310" i="11"/>
  <c r="J310" i="11"/>
  <c r="I310" i="11"/>
  <c r="G310" i="11"/>
  <c r="T309" i="11"/>
  <c r="S309" i="11"/>
  <c r="O309" i="11"/>
  <c r="J309" i="11"/>
  <c r="N309" i="11" s="1"/>
  <c r="I309" i="11"/>
  <c r="G309" i="11"/>
  <c r="T308" i="11"/>
  <c r="S308" i="11"/>
  <c r="O308" i="11"/>
  <c r="J308" i="11"/>
  <c r="N308" i="11" s="1"/>
  <c r="I308" i="11"/>
  <c r="G308" i="11"/>
  <c r="R307" i="11"/>
  <c r="O307" i="11"/>
  <c r="T306" i="11"/>
  <c r="S306" i="11"/>
  <c r="O306" i="11"/>
  <c r="J306" i="11"/>
  <c r="N306" i="11" s="1"/>
  <c r="I306" i="11"/>
  <c r="G306" i="11"/>
  <c r="T305" i="11"/>
  <c r="S305" i="11"/>
  <c r="O305" i="11"/>
  <c r="J305" i="11"/>
  <c r="I305" i="11"/>
  <c r="G305" i="11"/>
  <c r="T304" i="11"/>
  <c r="S304" i="11"/>
  <c r="O304" i="11"/>
  <c r="J304" i="11"/>
  <c r="N304" i="11" s="1"/>
  <c r="I304" i="11"/>
  <c r="G304" i="11"/>
  <c r="R303" i="11"/>
  <c r="O303" i="11"/>
  <c r="T302" i="11"/>
  <c r="S302" i="11"/>
  <c r="O302" i="11"/>
  <c r="J302" i="11"/>
  <c r="N302" i="11" s="1"/>
  <c r="I302" i="11"/>
  <c r="G302" i="11"/>
  <c r="T301" i="11"/>
  <c r="S301" i="11"/>
  <c r="O301" i="11"/>
  <c r="J301" i="11"/>
  <c r="I301" i="11"/>
  <c r="G301" i="11"/>
  <c r="T300" i="11"/>
  <c r="S300" i="11"/>
  <c r="O300" i="11"/>
  <c r="J300" i="11"/>
  <c r="I300" i="11"/>
  <c r="G300" i="11"/>
  <c r="R299" i="11"/>
  <c r="O299" i="11"/>
  <c r="T298" i="11"/>
  <c r="S298" i="11"/>
  <c r="O298" i="11"/>
  <c r="J298" i="11"/>
  <c r="I298" i="11"/>
  <c r="G298" i="11"/>
  <c r="T297" i="11"/>
  <c r="S297" i="11"/>
  <c r="O297" i="11"/>
  <c r="J297" i="11"/>
  <c r="I297" i="11"/>
  <c r="G297" i="11"/>
  <c r="R296" i="11"/>
  <c r="Q296" i="11"/>
  <c r="O296" i="11"/>
  <c r="T295" i="11"/>
  <c r="S295" i="11"/>
  <c r="O295" i="11"/>
  <c r="J295" i="11"/>
  <c r="I295" i="11"/>
  <c r="G295" i="11"/>
  <c r="T294" i="11"/>
  <c r="S294" i="11"/>
  <c r="O294" i="11"/>
  <c r="J294" i="11"/>
  <c r="I294" i="11"/>
  <c r="G294" i="11"/>
  <c r="R293" i="11"/>
  <c r="O293" i="11"/>
  <c r="T292" i="11"/>
  <c r="S292" i="11"/>
  <c r="O292" i="11"/>
  <c r="J292" i="11"/>
  <c r="I292" i="11"/>
  <c r="G292" i="11"/>
  <c r="T291" i="11"/>
  <c r="S291" i="11"/>
  <c r="O291" i="11"/>
  <c r="J291" i="11"/>
  <c r="I291" i="11"/>
  <c r="G291" i="11"/>
  <c r="R290" i="11"/>
  <c r="O290" i="11"/>
  <c r="T289" i="11"/>
  <c r="S289" i="11"/>
  <c r="O289" i="11"/>
  <c r="J289" i="11"/>
  <c r="N289" i="11" s="1"/>
  <c r="I289" i="11"/>
  <c r="G289" i="11"/>
  <c r="T288" i="11"/>
  <c r="S288" i="11"/>
  <c r="O288" i="11"/>
  <c r="J288" i="11"/>
  <c r="N288" i="11" s="1"/>
  <c r="I288" i="11"/>
  <c r="G288" i="11"/>
  <c r="R287" i="11"/>
  <c r="O287" i="11"/>
  <c r="T286" i="11"/>
  <c r="S286" i="11"/>
  <c r="O286" i="11"/>
  <c r="J286" i="11"/>
  <c r="I286" i="11"/>
  <c r="G286" i="11"/>
  <c r="T285" i="11"/>
  <c r="S285" i="11"/>
  <c r="O285" i="11"/>
  <c r="J285" i="11"/>
  <c r="I285" i="11"/>
  <c r="G285" i="11"/>
  <c r="R284" i="11"/>
  <c r="O284" i="11"/>
  <c r="T283" i="11"/>
  <c r="S283" i="11"/>
  <c r="O283" i="11"/>
  <c r="J283" i="11"/>
  <c r="I283" i="11"/>
  <c r="G283" i="11"/>
  <c r="T282" i="11"/>
  <c r="S282" i="11"/>
  <c r="O282" i="11"/>
  <c r="J282" i="11"/>
  <c r="I282" i="11"/>
  <c r="G282" i="11"/>
  <c r="R281" i="11"/>
  <c r="O281" i="11"/>
  <c r="T280" i="11"/>
  <c r="S280" i="11"/>
  <c r="O280" i="11"/>
  <c r="J280" i="11"/>
  <c r="N280" i="11" s="1"/>
  <c r="I280" i="11"/>
  <c r="G280" i="11"/>
  <c r="T279" i="11"/>
  <c r="S279" i="11"/>
  <c r="O279" i="11"/>
  <c r="J279" i="11"/>
  <c r="I279" i="11"/>
  <c r="G279" i="11"/>
  <c r="R278" i="11"/>
  <c r="O278" i="11"/>
  <c r="T277" i="11"/>
  <c r="S277" i="11"/>
  <c r="O277" i="11"/>
  <c r="J277" i="11"/>
  <c r="I277" i="11"/>
  <c r="G277" i="11"/>
  <c r="T276" i="11"/>
  <c r="S276" i="11"/>
  <c r="O276" i="11"/>
  <c r="J276" i="11"/>
  <c r="I276" i="11"/>
  <c r="G276" i="11"/>
  <c r="R275" i="11"/>
  <c r="O275" i="11"/>
  <c r="T274" i="11"/>
  <c r="S274" i="11"/>
  <c r="O274" i="11"/>
  <c r="J274" i="11"/>
  <c r="I274" i="11"/>
  <c r="G274" i="11"/>
  <c r="T273" i="11"/>
  <c r="S273" i="11"/>
  <c r="O273" i="11"/>
  <c r="J273" i="11"/>
  <c r="N273" i="11" s="1"/>
  <c r="I273" i="11"/>
  <c r="G273" i="11"/>
  <c r="R272" i="11"/>
  <c r="O272" i="11"/>
  <c r="T271" i="11"/>
  <c r="S271" i="11"/>
  <c r="O271" i="11"/>
  <c r="J271" i="11"/>
  <c r="I271" i="11"/>
  <c r="G271" i="11"/>
  <c r="T270" i="11"/>
  <c r="S270" i="11"/>
  <c r="O270" i="11"/>
  <c r="J270" i="11"/>
  <c r="I270" i="11"/>
  <c r="G270" i="11"/>
  <c r="R269" i="11"/>
  <c r="O269" i="11"/>
  <c r="T268" i="11"/>
  <c r="S268" i="11"/>
  <c r="O268" i="11"/>
  <c r="J268" i="11"/>
  <c r="I268" i="11"/>
  <c r="G268" i="11"/>
  <c r="T267" i="11"/>
  <c r="S267" i="11"/>
  <c r="O267" i="11"/>
  <c r="J267" i="11"/>
  <c r="I267" i="11"/>
  <c r="G267" i="11"/>
  <c r="T266" i="11"/>
  <c r="S266" i="11"/>
  <c r="O266" i="11"/>
  <c r="J266" i="11"/>
  <c r="N266" i="11" s="1"/>
  <c r="I266" i="11"/>
  <c r="G266" i="11"/>
  <c r="T265" i="11"/>
  <c r="S265" i="11"/>
  <c r="O265" i="11"/>
  <c r="J265" i="11"/>
  <c r="I265" i="11"/>
  <c r="G265" i="11"/>
  <c r="R264" i="11"/>
  <c r="Q264" i="11"/>
  <c r="O264" i="11"/>
  <c r="T263" i="11"/>
  <c r="S263" i="11"/>
  <c r="O263" i="11"/>
  <c r="J263" i="11"/>
  <c r="I263" i="11"/>
  <c r="G263" i="11"/>
  <c r="T262" i="11"/>
  <c r="S262" i="11"/>
  <c r="O262" i="11"/>
  <c r="J262" i="11"/>
  <c r="I262" i="11"/>
  <c r="G262" i="11"/>
  <c r="T261" i="11"/>
  <c r="S261" i="11"/>
  <c r="O261" i="11"/>
  <c r="J261" i="11"/>
  <c r="N261" i="11" s="1"/>
  <c r="I261" i="11"/>
  <c r="G261" i="11"/>
  <c r="T260" i="11"/>
  <c r="S260" i="11"/>
  <c r="O260" i="11"/>
  <c r="J260" i="11"/>
  <c r="N260" i="11" s="1"/>
  <c r="I260" i="11"/>
  <c r="G260" i="11"/>
  <c r="R259" i="11"/>
  <c r="O259" i="11"/>
  <c r="T258" i="11"/>
  <c r="S258" i="11"/>
  <c r="O258" i="11"/>
  <c r="J258" i="11"/>
  <c r="I258" i="11"/>
  <c r="G258" i="11"/>
  <c r="T257" i="11"/>
  <c r="S257" i="11"/>
  <c r="O257" i="11"/>
  <c r="J257" i="11"/>
  <c r="I257" i="11"/>
  <c r="G257" i="11"/>
  <c r="T256" i="11"/>
  <c r="S256" i="11"/>
  <c r="O256" i="11"/>
  <c r="J256" i="11"/>
  <c r="N256" i="11" s="1"/>
  <c r="I256" i="11"/>
  <c r="G256" i="11"/>
  <c r="T255" i="11"/>
  <c r="S255" i="11"/>
  <c r="O255" i="11"/>
  <c r="J255" i="11"/>
  <c r="I255" i="11"/>
  <c r="G255" i="11"/>
  <c r="R254" i="11"/>
  <c r="Q254" i="11"/>
  <c r="O254" i="11"/>
  <c r="T253" i="11"/>
  <c r="S253" i="11"/>
  <c r="O253" i="11"/>
  <c r="J253" i="11"/>
  <c r="I253" i="11"/>
  <c r="G253" i="11"/>
  <c r="T252" i="11"/>
  <c r="S252" i="11"/>
  <c r="O252" i="11"/>
  <c r="J252" i="11"/>
  <c r="I252" i="11"/>
  <c r="G252" i="11"/>
  <c r="T251" i="11"/>
  <c r="S251" i="11"/>
  <c r="O251" i="11"/>
  <c r="J251" i="11"/>
  <c r="I251" i="11"/>
  <c r="G251" i="11"/>
  <c r="T250" i="11"/>
  <c r="S250" i="11"/>
  <c r="O250" i="11"/>
  <c r="J250" i="11"/>
  <c r="I250" i="11"/>
  <c r="G250" i="11"/>
  <c r="R249" i="11"/>
  <c r="O249" i="11"/>
  <c r="R248" i="11"/>
  <c r="Q248" i="11"/>
  <c r="O248" i="11"/>
  <c r="G248" i="11"/>
  <c r="I248" i="11" s="1"/>
  <c r="R247" i="11"/>
  <c r="O247" i="11"/>
  <c r="F247" i="11"/>
  <c r="G247" i="11" s="1"/>
  <c r="I247" i="11" s="1"/>
  <c r="R246" i="11"/>
  <c r="O246" i="11"/>
  <c r="F246" i="11"/>
  <c r="G246" i="11" s="1"/>
  <c r="I246" i="11" s="1"/>
  <c r="R245" i="11"/>
  <c r="Q245" i="11"/>
  <c r="O245" i="11"/>
  <c r="F245" i="11"/>
  <c r="G245" i="11" s="1"/>
  <c r="I245" i="11" s="1"/>
  <c r="R244" i="11"/>
  <c r="Q244" i="11"/>
  <c r="O244" i="11"/>
  <c r="F244" i="11"/>
  <c r="G244" i="11" s="1"/>
  <c r="I244" i="11" s="1"/>
  <c r="R243" i="11"/>
  <c r="O243" i="11"/>
  <c r="F243" i="11"/>
  <c r="G243" i="11" s="1"/>
  <c r="I243" i="11" s="1"/>
  <c r="R242" i="11"/>
  <c r="O242" i="11"/>
  <c r="F242" i="11"/>
  <c r="G242" i="11" s="1"/>
  <c r="I242" i="11" s="1"/>
  <c r="R241" i="11"/>
  <c r="Q241" i="11"/>
  <c r="O241" i="11"/>
  <c r="F241" i="11"/>
  <c r="G241" i="11" s="1"/>
  <c r="I241" i="11" s="1"/>
  <c r="R240" i="11"/>
  <c r="Q240" i="11"/>
  <c r="O240" i="11"/>
  <c r="F240" i="11"/>
  <c r="G240" i="11" s="1"/>
  <c r="I240" i="11" s="1"/>
  <c r="R239" i="11"/>
  <c r="O239" i="11"/>
  <c r="F239" i="11"/>
  <c r="G239" i="11" s="1"/>
  <c r="I239" i="11" s="1"/>
  <c r="R238" i="11"/>
  <c r="Q238" i="11"/>
  <c r="O238" i="11"/>
  <c r="F238" i="11"/>
  <c r="G238" i="11" s="1"/>
  <c r="I238" i="11" s="1"/>
  <c r="R237" i="11"/>
  <c r="O237" i="11"/>
  <c r="F237" i="11"/>
  <c r="G237" i="11" s="1"/>
  <c r="I237" i="11" s="1"/>
  <c r="R236" i="11"/>
  <c r="O236" i="11"/>
  <c r="F236" i="11"/>
  <c r="G236" i="11" s="1"/>
  <c r="I236" i="11" s="1"/>
  <c r="R235" i="11"/>
  <c r="O235" i="11"/>
  <c r="F235" i="11"/>
  <c r="G235" i="11" s="1"/>
  <c r="I235" i="11" s="1"/>
  <c r="R234" i="11"/>
  <c r="O234" i="11"/>
  <c r="F234" i="11"/>
  <c r="G234" i="11" s="1"/>
  <c r="I234" i="11" s="1"/>
  <c r="R233" i="11"/>
  <c r="O233" i="11"/>
  <c r="F233" i="11"/>
  <c r="G233" i="11" s="1"/>
  <c r="I233" i="11" s="1"/>
  <c r="R232" i="11"/>
  <c r="Q232" i="11"/>
  <c r="O232" i="11"/>
  <c r="G232" i="11"/>
  <c r="I232" i="11" s="1"/>
  <c r="F232" i="11"/>
  <c r="R231" i="11"/>
  <c r="O231" i="11"/>
  <c r="F231" i="11"/>
  <c r="G231" i="11" s="1"/>
  <c r="I231" i="11" s="1"/>
  <c r="R230" i="11"/>
  <c r="O230" i="11"/>
  <c r="F230" i="11"/>
  <c r="G230" i="11" s="1"/>
  <c r="I230" i="11" s="1"/>
  <c r="R229" i="11"/>
  <c r="O229" i="11"/>
  <c r="F229" i="11"/>
  <c r="G229" i="11" s="1"/>
  <c r="I229" i="11" s="1"/>
  <c r="R228" i="11"/>
  <c r="O228" i="11"/>
  <c r="F228" i="11"/>
  <c r="G228" i="11" s="1"/>
  <c r="I228" i="11" s="1"/>
  <c r="R227" i="11"/>
  <c r="O227" i="11"/>
  <c r="F227" i="11"/>
  <c r="G227" i="11" s="1"/>
  <c r="I227" i="11" s="1"/>
  <c r="R226" i="11"/>
  <c r="O226" i="11"/>
  <c r="G226" i="11"/>
  <c r="I226" i="11" s="1"/>
  <c r="R225" i="11"/>
  <c r="Q225" i="11"/>
  <c r="O225" i="11"/>
  <c r="I225" i="11"/>
  <c r="R224" i="11"/>
  <c r="O224" i="11"/>
  <c r="I224" i="11"/>
  <c r="R223" i="11"/>
  <c r="Q223" i="11"/>
  <c r="O223" i="11"/>
  <c r="G223" i="11"/>
  <c r="I223" i="11" s="1"/>
  <c r="R222" i="11"/>
  <c r="O222" i="11"/>
  <c r="H222" i="11"/>
  <c r="G222" i="11"/>
  <c r="G221" i="11"/>
  <c r="R220" i="11"/>
  <c r="O220" i="11"/>
  <c r="G220" i="11"/>
  <c r="R219" i="11"/>
  <c r="O219" i="11"/>
  <c r="G219" i="11"/>
  <c r="R218" i="11"/>
  <c r="O218" i="11"/>
  <c r="G218" i="11"/>
  <c r="Q217" i="11"/>
  <c r="O217" i="11"/>
  <c r="I217" i="11"/>
  <c r="R215" i="11"/>
  <c r="Q215" i="11"/>
  <c r="O215" i="11"/>
  <c r="N215" i="11"/>
  <c r="J215" i="11"/>
  <c r="R214" i="11"/>
  <c r="Q214" i="11"/>
  <c r="O214" i="11"/>
  <c r="N214" i="11"/>
  <c r="J214" i="11"/>
  <c r="R213" i="11"/>
  <c r="Q213" i="11"/>
  <c r="O213" i="11"/>
  <c r="N213" i="11"/>
  <c r="J213" i="11"/>
  <c r="R212" i="11"/>
  <c r="Q212" i="11"/>
  <c r="O212" i="11"/>
  <c r="N212" i="11"/>
  <c r="J212" i="11"/>
  <c r="R211" i="11"/>
  <c r="Q211" i="11"/>
  <c r="O211" i="11"/>
  <c r="N211" i="11"/>
  <c r="J211" i="11"/>
  <c r="R210" i="11"/>
  <c r="Q210" i="11"/>
  <c r="O210" i="11"/>
  <c r="N210" i="11"/>
  <c r="J210" i="11"/>
  <c r="R209" i="11"/>
  <c r="Q209" i="11"/>
  <c r="O209" i="11"/>
  <c r="N209" i="11"/>
  <c r="J209" i="11"/>
  <c r="R208" i="11"/>
  <c r="Q208" i="11"/>
  <c r="O208" i="11"/>
  <c r="N208" i="11"/>
  <c r="J208" i="11"/>
  <c r="R207" i="11"/>
  <c r="Q207" i="11"/>
  <c r="O207" i="11"/>
  <c r="N207" i="11"/>
  <c r="J207" i="11"/>
  <c r="R206" i="11"/>
  <c r="Q206" i="11"/>
  <c r="O206" i="11"/>
  <c r="N206" i="11"/>
  <c r="J206" i="11"/>
  <c r="R205" i="11"/>
  <c r="Q205" i="11"/>
  <c r="O205" i="11"/>
  <c r="N205" i="11"/>
  <c r="J205" i="11"/>
  <c r="R204" i="11"/>
  <c r="Q204" i="11"/>
  <c r="O204" i="11"/>
  <c r="N204" i="11"/>
  <c r="J204" i="11"/>
  <c r="R203" i="11"/>
  <c r="Q203" i="11"/>
  <c r="O203" i="11"/>
  <c r="N203" i="11"/>
  <c r="J203" i="11"/>
  <c r="R202" i="11"/>
  <c r="Q202" i="11"/>
  <c r="O202" i="11"/>
  <c r="N202" i="11"/>
  <c r="J202" i="11"/>
  <c r="R201" i="11"/>
  <c r="Q201" i="11"/>
  <c r="O201" i="11"/>
  <c r="N201" i="11"/>
  <c r="J201" i="11"/>
  <c r="R200" i="11"/>
  <c r="Q200" i="11"/>
  <c r="O200" i="11"/>
  <c r="N200" i="11"/>
  <c r="J200" i="11"/>
  <c r="R199" i="11"/>
  <c r="Q199" i="11"/>
  <c r="O199" i="11"/>
  <c r="N199" i="11"/>
  <c r="J199" i="11"/>
  <c r="R198" i="11"/>
  <c r="Q198" i="11"/>
  <c r="O198" i="11"/>
  <c r="N198" i="11"/>
  <c r="J198" i="11"/>
  <c r="R197" i="11"/>
  <c r="Q197" i="11"/>
  <c r="O197" i="11"/>
  <c r="N197" i="11"/>
  <c r="J197" i="11"/>
  <c r="R196" i="11"/>
  <c r="Q196" i="11"/>
  <c r="O196" i="11"/>
  <c r="N196" i="11"/>
  <c r="J196" i="11"/>
  <c r="R195" i="11"/>
  <c r="Q195" i="11"/>
  <c r="O195" i="11"/>
  <c r="N195" i="11"/>
  <c r="J195" i="11"/>
  <c r="R194" i="11"/>
  <c r="Q194" i="11"/>
  <c r="O194" i="11"/>
  <c r="N194" i="11"/>
  <c r="J194" i="11"/>
  <c r="R193" i="11"/>
  <c r="Q193" i="11"/>
  <c r="O193" i="11"/>
  <c r="N193" i="11"/>
  <c r="J193" i="11"/>
  <c r="R192" i="11"/>
  <c r="Q192" i="11"/>
  <c r="O192" i="11"/>
  <c r="N192" i="11"/>
  <c r="J192" i="11"/>
  <c r="R191" i="11"/>
  <c r="Q191" i="11"/>
  <c r="O191" i="11"/>
  <c r="N191" i="11"/>
  <c r="J191" i="11"/>
  <c r="R189" i="11"/>
  <c r="Q189" i="11"/>
  <c r="O189" i="11"/>
  <c r="N189" i="11"/>
  <c r="G189" i="11"/>
  <c r="I189" i="11" s="1"/>
  <c r="T188" i="11"/>
  <c r="S188" i="11"/>
  <c r="O188" i="11"/>
  <c r="N188" i="11"/>
  <c r="J188" i="11"/>
  <c r="G188" i="11"/>
  <c r="T187" i="11"/>
  <c r="S187" i="11"/>
  <c r="O187" i="11"/>
  <c r="N187" i="11"/>
  <c r="J187" i="11"/>
  <c r="G187" i="11"/>
  <c r="R186" i="11"/>
  <c r="Q186" i="11"/>
  <c r="O186" i="11"/>
  <c r="T185" i="11"/>
  <c r="S185" i="11"/>
  <c r="O185" i="11"/>
  <c r="N185" i="11"/>
  <c r="J185" i="11"/>
  <c r="G185" i="11"/>
  <c r="T184" i="11"/>
  <c r="S184" i="11"/>
  <c r="O184" i="11"/>
  <c r="N184" i="11"/>
  <c r="J184" i="11"/>
  <c r="G184" i="11"/>
  <c r="R183" i="11"/>
  <c r="Q183" i="11"/>
  <c r="O183" i="11"/>
  <c r="N183" i="11"/>
  <c r="T182" i="11"/>
  <c r="S182" i="11"/>
  <c r="O182" i="11"/>
  <c r="N182" i="11"/>
  <c r="J182" i="11"/>
  <c r="I182" i="11"/>
  <c r="G182" i="11"/>
  <c r="T181" i="11"/>
  <c r="S181" i="11"/>
  <c r="O181" i="11"/>
  <c r="N181" i="11"/>
  <c r="J181" i="11"/>
  <c r="I181" i="11"/>
  <c r="G181" i="11"/>
  <c r="T180" i="11"/>
  <c r="S180" i="11"/>
  <c r="O180" i="11"/>
  <c r="N180" i="11"/>
  <c r="J180" i="11"/>
  <c r="I180" i="11"/>
  <c r="G180" i="11"/>
  <c r="R179" i="11"/>
  <c r="Q179" i="11"/>
  <c r="O179" i="11"/>
  <c r="N179" i="11"/>
  <c r="R178" i="11"/>
  <c r="Q178" i="11"/>
  <c r="O178" i="11"/>
  <c r="N178" i="11"/>
  <c r="G178" i="11"/>
  <c r="I178" i="11" s="1"/>
  <c r="R177" i="11"/>
  <c r="Q177" i="11"/>
  <c r="O177" i="11"/>
  <c r="N177" i="11"/>
  <c r="G177" i="11"/>
  <c r="I177" i="11" s="1"/>
  <c r="R176" i="11"/>
  <c r="Q176" i="11"/>
  <c r="O176" i="11"/>
  <c r="N176" i="11"/>
  <c r="G176" i="11"/>
  <c r="I176" i="11" s="1"/>
  <c r="R175" i="11"/>
  <c r="Q175" i="11"/>
  <c r="O175" i="11"/>
  <c r="N175" i="11"/>
  <c r="G175" i="11"/>
  <c r="I175" i="11" s="1"/>
  <c r="R174" i="11"/>
  <c r="Q174" i="11"/>
  <c r="O174" i="11"/>
  <c r="N174" i="11"/>
  <c r="G174" i="11"/>
  <c r="I174" i="11" s="1"/>
  <c r="R173" i="11"/>
  <c r="Q173" i="11"/>
  <c r="O173" i="11"/>
  <c r="N173" i="11"/>
  <c r="G173" i="11"/>
  <c r="I173" i="11" s="1"/>
  <c r="T172" i="11"/>
  <c r="S172" i="11"/>
  <c r="O172" i="11"/>
  <c r="N172" i="11"/>
  <c r="J172" i="11"/>
  <c r="I172" i="11"/>
  <c r="G172" i="11"/>
  <c r="T171" i="11"/>
  <c r="S171" i="11"/>
  <c r="O171" i="11"/>
  <c r="N171" i="11"/>
  <c r="J171" i="11"/>
  <c r="I171" i="11"/>
  <c r="G171" i="11"/>
  <c r="T170" i="11"/>
  <c r="S170" i="11"/>
  <c r="O170" i="11"/>
  <c r="N170" i="11"/>
  <c r="J170" i="11"/>
  <c r="I170" i="11"/>
  <c r="G170" i="11"/>
  <c r="R169" i="11"/>
  <c r="Q169" i="11"/>
  <c r="O169" i="11"/>
  <c r="N169" i="11"/>
  <c r="T168" i="11"/>
  <c r="S168" i="11"/>
  <c r="O168" i="11"/>
  <c r="N168" i="11"/>
  <c r="J168" i="11"/>
  <c r="I168" i="11"/>
  <c r="G168" i="11"/>
  <c r="T167" i="11"/>
  <c r="S167" i="11"/>
  <c r="O167" i="11"/>
  <c r="N167" i="11"/>
  <c r="J167" i="11"/>
  <c r="I167" i="11"/>
  <c r="G167" i="11"/>
  <c r="T166" i="11"/>
  <c r="S166" i="11"/>
  <c r="O166" i="11"/>
  <c r="N166" i="11"/>
  <c r="J166" i="11"/>
  <c r="I166" i="11"/>
  <c r="G166" i="11"/>
  <c r="R165" i="11"/>
  <c r="Q165" i="11"/>
  <c r="O165" i="11"/>
  <c r="N165" i="11"/>
  <c r="T164" i="11"/>
  <c r="S164" i="11"/>
  <c r="O164" i="11"/>
  <c r="N164" i="11"/>
  <c r="J164" i="11"/>
  <c r="I164" i="11"/>
  <c r="G164" i="11"/>
  <c r="T163" i="11"/>
  <c r="S163" i="11"/>
  <c r="O163" i="11"/>
  <c r="N163" i="11"/>
  <c r="J163" i="11"/>
  <c r="I163" i="11"/>
  <c r="G163" i="11"/>
  <c r="T162" i="11"/>
  <c r="S162" i="11"/>
  <c r="O162" i="11"/>
  <c r="N162" i="11"/>
  <c r="J162" i="11"/>
  <c r="I162" i="11"/>
  <c r="G162" i="11"/>
  <c r="R161" i="11"/>
  <c r="Q161" i="11"/>
  <c r="O161" i="11"/>
  <c r="N161" i="11"/>
  <c r="T160" i="11"/>
  <c r="S160" i="11"/>
  <c r="O160" i="11"/>
  <c r="N160" i="11"/>
  <c r="J160" i="11"/>
  <c r="I160" i="11"/>
  <c r="G160" i="11"/>
  <c r="T159" i="11"/>
  <c r="S159" i="11"/>
  <c r="O159" i="11"/>
  <c r="N159" i="11"/>
  <c r="J159" i="11"/>
  <c r="I159" i="11"/>
  <c r="G159" i="11"/>
  <c r="T158" i="11"/>
  <c r="S158" i="11"/>
  <c r="O158" i="11"/>
  <c r="N158" i="11"/>
  <c r="J158" i="11"/>
  <c r="I158" i="11"/>
  <c r="G158" i="11"/>
  <c r="R157" i="11"/>
  <c r="Q157" i="11"/>
  <c r="O157" i="11"/>
  <c r="N157" i="11"/>
  <c r="T156" i="11"/>
  <c r="S156" i="11"/>
  <c r="O156" i="11"/>
  <c r="N156" i="11"/>
  <c r="J156" i="11"/>
  <c r="I156" i="11"/>
  <c r="G156" i="11"/>
  <c r="T155" i="11"/>
  <c r="S155" i="11"/>
  <c r="O155" i="11"/>
  <c r="N155" i="11"/>
  <c r="J155" i="11"/>
  <c r="I155" i="11"/>
  <c r="G155" i="11"/>
  <c r="T154" i="11"/>
  <c r="S154" i="11"/>
  <c r="O154" i="11"/>
  <c r="N154" i="11"/>
  <c r="J154" i="11"/>
  <c r="I154" i="11"/>
  <c r="G154" i="11"/>
  <c r="R153" i="11"/>
  <c r="Q153" i="11"/>
  <c r="O153" i="11"/>
  <c r="N153" i="11"/>
  <c r="T152" i="11"/>
  <c r="S152" i="11"/>
  <c r="O152" i="11"/>
  <c r="N152" i="11"/>
  <c r="J152" i="11"/>
  <c r="I152" i="11"/>
  <c r="G152" i="11"/>
  <c r="T151" i="11"/>
  <c r="S151" i="11"/>
  <c r="O151" i="11"/>
  <c r="N151" i="11"/>
  <c r="J151" i="11"/>
  <c r="I151" i="11"/>
  <c r="G151" i="11"/>
  <c r="T150" i="11"/>
  <c r="S150" i="11"/>
  <c r="O150" i="11"/>
  <c r="N150" i="11"/>
  <c r="J150" i="11"/>
  <c r="I150" i="11"/>
  <c r="G150" i="11"/>
  <c r="R149" i="11"/>
  <c r="Q149" i="11"/>
  <c r="O149" i="11"/>
  <c r="N149" i="11"/>
  <c r="T148" i="11"/>
  <c r="S148" i="11"/>
  <c r="O148" i="11"/>
  <c r="N148" i="11"/>
  <c r="J148" i="11"/>
  <c r="I148" i="11"/>
  <c r="G148" i="11"/>
  <c r="T147" i="11"/>
  <c r="S147" i="11"/>
  <c r="O147" i="11"/>
  <c r="N147" i="11"/>
  <c r="J147" i="11"/>
  <c r="I147" i="11"/>
  <c r="G147" i="11"/>
  <c r="R146" i="11"/>
  <c r="Q146" i="11"/>
  <c r="O146" i="11"/>
  <c r="N146" i="11"/>
  <c r="T145" i="11"/>
  <c r="S145" i="11"/>
  <c r="O145" i="11"/>
  <c r="N145" i="11"/>
  <c r="J145" i="11"/>
  <c r="I145" i="11"/>
  <c r="G145" i="11"/>
  <c r="T144" i="11"/>
  <c r="S144" i="11"/>
  <c r="O144" i="11"/>
  <c r="N144" i="11"/>
  <c r="J144" i="11"/>
  <c r="I144" i="11"/>
  <c r="G144" i="11"/>
  <c r="R143" i="11"/>
  <c r="Q143" i="11"/>
  <c r="O143" i="11"/>
  <c r="N143" i="11"/>
  <c r="T142" i="11"/>
  <c r="S142" i="11"/>
  <c r="O142" i="11"/>
  <c r="N142" i="11"/>
  <c r="J142" i="11"/>
  <c r="I142" i="11"/>
  <c r="G142" i="11"/>
  <c r="T141" i="11"/>
  <c r="S141" i="11"/>
  <c r="O141" i="11"/>
  <c r="N141" i="11"/>
  <c r="J141" i="11"/>
  <c r="I141" i="11"/>
  <c r="G141" i="11"/>
  <c r="R140" i="11"/>
  <c r="Q140" i="11"/>
  <c r="O140" i="11"/>
  <c r="N140" i="11"/>
  <c r="T139" i="11"/>
  <c r="S139" i="11"/>
  <c r="O139" i="11"/>
  <c r="N139" i="11"/>
  <c r="J139" i="11"/>
  <c r="I139" i="11"/>
  <c r="G139" i="11"/>
  <c r="T138" i="11"/>
  <c r="S138" i="11"/>
  <c r="O138" i="11"/>
  <c r="N138" i="11"/>
  <c r="J138" i="11"/>
  <c r="I138" i="11"/>
  <c r="G138" i="11"/>
  <c r="R137" i="11"/>
  <c r="Q137" i="11"/>
  <c r="O137" i="11"/>
  <c r="N137" i="11"/>
  <c r="T136" i="11"/>
  <c r="S136" i="11"/>
  <c r="O136" i="11"/>
  <c r="N136" i="11"/>
  <c r="J136" i="11"/>
  <c r="I136" i="11"/>
  <c r="G136" i="11"/>
  <c r="T135" i="11"/>
  <c r="S135" i="11"/>
  <c r="O135" i="11"/>
  <c r="N135" i="11"/>
  <c r="J135" i="11"/>
  <c r="I135" i="11"/>
  <c r="G135" i="11"/>
  <c r="R134" i="11"/>
  <c r="Q134" i="11"/>
  <c r="O134" i="11"/>
  <c r="N134" i="11"/>
  <c r="T133" i="11"/>
  <c r="S133" i="11"/>
  <c r="O133" i="11"/>
  <c r="N133" i="11"/>
  <c r="G133" i="11"/>
  <c r="T132" i="11"/>
  <c r="S132" i="11"/>
  <c r="O132" i="11"/>
  <c r="N132" i="11"/>
  <c r="G132" i="11"/>
  <c r="R131" i="11"/>
  <c r="Q131" i="11"/>
  <c r="O131" i="11"/>
  <c r="N131" i="11"/>
  <c r="R130" i="11"/>
  <c r="Q130" i="11"/>
  <c r="O130" i="11"/>
  <c r="N130" i="11"/>
  <c r="G130" i="11"/>
  <c r="I130" i="11" s="1"/>
  <c r="R129" i="11"/>
  <c r="Q129" i="11"/>
  <c r="O129" i="11"/>
  <c r="N129" i="11"/>
  <c r="G129" i="11"/>
  <c r="I129" i="11" s="1"/>
  <c r="R128" i="11"/>
  <c r="Q128" i="11"/>
  <c r="O128" i="11"/>
  <c r="N128" i="11"/>
  <c r="G128" i="11"/>
  <c r="I128" i="11" s="1"/>
  <c r="R127" i="11"/>
  <c r="Q127" i="11"/>
  <c r="O127" i="11"/>
  <c r="N127" i="11"/>
  <c r="I127" i="11"/>
  <c r="R126" i="11"/>
  <c r="Q126" i="11"/>
  <c r="O126" i="11"/>
  <c r="N126" i="11"/>
  <c r="I126" i="11"/>
  <c r="R125" i="11"/>
  <c r="Q125" i="11"/>
  <c r="O125" i="11"/>
  <c r="N125" i="11"/>
  <c r="I125" i="11"/>
  <c r="R124" i="11"/>
  <c r="Q124" i="11"/>
  <c r="O124" i="11"/>
  <c r="N124" i="11"/>
  <c r="I124" i="11"/>
  <c r="R123" i="11"/>
  <c r="Q123" i="11"/>
  <c r="O123" i="11"/>
  <c r="N123" i="11"/>
  <c r="G123" i="11"/>
  <c r="I123" i="11" s="1"/>
  <c r="R122" i="11"/>
  <c r="Q122" i="11"/>
  <c r="O122" i="11"/>
  <c r="N122" i="11"/>
  <c r="G122" i="11"/>
  <c r="I122" i="11" s="1"/>
  <c r="R121" i="11"/>
  <c r="Q121" i="11"/>
  <c r="O121" i="11"/>
  <c r="N121" i="11"/>
  <c r="I121" i="11"/>
  <c r="R120" i="11"/>
  <c r="Q120" i="11"/>
  <c r="O120" i="11"/>
  <c r="N120" i="11"/>
  <c r="G120" i="11"/>
  <c r="I120" i="11" s="1"/>
  <c r="R119" i="11"/>
  <c r="Q119" i="11"/>
  <c r="O119" i="11"/>
  <c r="N119" i="11"/>
  <c r="G119" i="11"/>
  <c r="I119" i="11" s="1"/>
  <c r="R118" i="11"/>
  <c r="Q118" i="11"/>
  <c r="O118" i="11"/>
  <c r="N118" i="11"/>
  <c r="G118" i="11"/>
  <c r="I118" i="11" s="1"/>
  <c r="R117" i="11"/>
  <c r="Q117" i="11"/>
  <c r="O117" i="11"/>
  <c r="N117" i="11"/>
  <c r="G117" i="11"/>
  <c r="I117" i="11" s="1"/>
  <c r="R116" i="11"/>
  <c r="Q116" i="11"/>
  <c r="O116" i="11"/>
  <c r="N116" i="11"/>
  <c r="G116" i="11"/>
  <c r="I116" i="11" s="1"/>
  <c r="R115" i="11"/>
  <c r="Q115" i="11"/>
  <c r="O115" i="11"/>
  <c r="N115" i="11"/>
  <c r="G115" i="11"/>
  <c r="I115" i="11" s="1"/>
  <c r="R114" i="11"/>
  <c r="Q114" i="11"/>
  <c r="O114" i="11"/>
  <c r="N114" i="11"/>
  <c r="I114" i="11"/>
  <c r="R112" i="11"/>
  <c r="Q112" i="11"/>
  <c r="O112" i="11"/>
  <c r="N112" i="11"/>
  <c r="J112" i="11"/>
  <c r="R111" i="11"/>
  <c r="Q111" i="11"/>
  <c r="O111" i="11"/>
  <c r="N111" i="11"/>
  <c r="J111" i="11"/>
  <c r="R110" i="11"/>
  <c r="Q110" i="11"/>
  <c r="O110" i="11"/>
  <c r="N110" i="11"/>
  <c r="J110" i="11"/>
  <c r="R109" i="11"/>
  <c r="Q109" i="11"/>
  <c r="O109" i="11"/>
  <c r="N109" i="11"/>
  <c r="J109" i="11"/>
  <c r="R108" i="11"/>
  <c r="Q108" i="11"/>
  <c r="O108" i="11"/>
  <c r="N108" i="11"/>
  <c r="J108" i="11"/>
  <c r="R107" i="11"/>
  <c r="Q107" i="11"/>
  <c r="O107" i="11"/>
  <c r="N107" i="11"/>
  <c r="J107" i="11"/>
  <c r="R106" i="11"/>
  <c r="Q106" i="11"/>
  <c r="O106" i="11"/>
  <c r="N106" i="11"/>
  <c r="J106" i="11"/>
  <c r="R105" i="11"/>
  <c r="Q105" i="11"/>
  <c r="O105" i="11"/>
  <c r="N105" i="11"/>
  <c r="J105" i="11"/>
  <c r="R104" i="11"/>
  <c r="Q104" i="11"/>
  <c r="O104" i="11"/>
  <c r="N104" i="11"/>
  <c r="J104" i="11"/>
  <c r="R103" i="11"/>
  <c r="Q103" i="11"/>
  <c r="O103" i="11"/>
  <c r="N103" i="11"/>
  <c r="J103" i="11"/>
  <c r="R102" i="11"/>
  <c r="Q102" i="11"/>
  <c r="O102" i="11"/>
  <c r="N102" i="11"/>
  <c r="J102" i="11"/>
  <c r="R101" i="11"/>
  <c r="Q101" i="11"/>
  <c r="O101" i="11"/>
  <c r="N101" i="11"/>
  <c r="J101" i="11"/>
  <c r="R100" i="11"/>
  <c r="Q100" i="11"/>
  <c r="O100" i="11"/>
  <c r="N100" i="11"/>
  <c r="J100" i="11"/>
  <c r="R99" i="11"/>
  <c r="Q99" i="11"/>
  <c r="O99" i="11"/>
  <c r="N99" i="11"/>
  <c r="J99" i="11"/>
  <c r="R98" i="11"/>
  <c r="Q98" i="11"/>
  <c r="O98" i="11"/>
  <c r="N98" i="11"/>
  <c r="J98" i="11"/>
  <c r="R97" i="11"/>
  <c r="Q97" i="11"/>
  <c r="O97" i="11"/>
  <c r="N97" i="11"/>
  <c r="J97" i="11"/>
  <c r="R96" i="11"/>
  <c r="Q96" i="11"/>
  <c r="O96" i="11"/>
  <c r="N96" i="11"/>
  <c r="J96" i="11"/>
  <c r="R95" i="11"/>
  <c r="Q95" i="11"/>
  <c r="O95" i="11"/>
  <c r="N95" i="11"/>
  <c r="J95" i="11"/>
  <c r="R94" i="11"/>
  <c r="Q94" i="11"/>
  <c r="O94" i="11"/>
  <c r="N94" i="11"/>
  <c r="J94" i="11"/>
  <c r="R93" i="11"/>
  <c r="Q93" i="11"/>
  <c r="O93" i="11"/>
  <c r="N93" i="11"/>
  <c r="J93" i="11"/>
  <c r="R92" i="11"/>
  <c r="Q92" i="11"/>
  <c r="O92" i="11"/>
  <c r="N92" i="11"/>
  <c r="J92" i="11"/>
  <c r="R91" i="11"/>
  <c r="Q91" i="11"/>
  <c r="O91" i="11"/>
  <c r="N91" i="11"/>
  <c r="J91" i="11"/>
  <c r="R90" i="11"/>
  <c r="Q90" i="11"/>
  <c r="O90" i="11"/>
  <c r="N90" i="11"/>
  <c r="J90" i="11"/>
  <c r="R89" i="11"/>
  <c r="Q89" i="11"/>
  <c r="O89" i="11"/>
  <c r="N89" i="11"/>
  <c r="J89" i="11"/>
  <c r="R88" i="11"/>
  <c r="Q88" i="11"/>
  <c r="O88" i="11"/>
  <c r="N88" i="11"/>
  <c r="J88" i="11"/>
  <c r="R86" i="11"/>
  <c r="Q86" i="11"/>
  <c r="O86" i="11"/>
  <c r="N86" i="11"/>
  <c r="G86" i="11"/>
  <c r="I86" i="11" s="1"/>
  <c r="R85" i="11"/>
  <c r="Q85" i="11"/>
  <c r="O85" i="11"/>
  <c r="N85" i="11"/>
  <c r="G85" i="11"/>
  <c r="I85" i="11" s="1"/>
  <c r="R84" i="11"/>
  <c r="Q84" i="11"/>
  <c r="O84" i="11"/>
  <c r="N84" i="11"/>
  <c r="G84" i="11"/>
  <c r="I84" i="11" s="1"/>
  <c r="R83" i="11"/>
  <c r="Q83" i="11"/>
  <c r="O83" i="11"/>
  <c r="N83" i="11"/>
  <c r="G83" i="11"/>
  <c r="I83" i="11" s="1"/>
  <c r="R82" i="11"/>
  <c r="Q82" i="11"/>
  <c r="O82" i="11"/>
  <c r="G82" i="11"/>
  <c r="I82" i="11" s="1"/>
  <c r="R81" i="11"/>
  <c r="Q81" i="11"/>
  <c r="O81" i="11"/>
  <c r="N81" i="11"/>
  <c r="I81" i="11"/>
  <c r="R80" i="11"/>
  <c r="Q80" i="11"/>
  <c r="O80" i="11"/>
  <c r="N80" i="11"/>
  <c r="I80" i="11"/>
  <c r="R79" i="11"/>
  <c r="Q79" i="11"/>
  <c r="O79" i="11"/>
  <c r="N79" i="11"/>
  <c r="I79" i="11"/>
  <c r="R78" i="11"/>
  <c r="Q78" i="11"/>
  <c r="O78" i="11"/>
  <c r="N78" i="11"/>
  <c r="I78" i="11"/>
  <c r="R77" i="11"/>
  <c r="Q77" i="11"/>
  <c r="O77" i="11"/>
  <c r="N77" i="11"/>
  <c r="I77" i="11"/>
  <c r="R76" i="11"/>
  <c r="Q76" i="11"/>
  <c r="O76" i="11"/>
  <c r="N76" i="11"/>
  <c r="G76" i="11"/>
  <c r="I76" i="11" s="1"/>
  <c r="R75" i="11"/>
  <c r="Q75" i="11"/>
  <c r="O75" i="11"/>
  <c r="N75" i="11"/>
  <c r="I75" i="11"/>
  <c r="R74" i="11"/>
  <c r="Q74" i="11"/>
  <c r="O74" i="11"/>
  <c r="N74" i="11"/>
  <c r="I74" i="11"/>
  <c r="R73" i="11"/>
  <c r="Q73" i="11"/>
  <c r="O73" i="11"/>
  <c r="N73" i="11"/>
  <c r="I73" i="11"/>
  <c r="R72" i="11"/>
  <c r="Q72" i="11"/>
  <c r="O72" i="11"/>
  <c r="N72" i="11"/>
  <c r="I72" i="11"/>
  <c r="R71" i="11"/>
  <c r="Q71" i="11"/>
  <c r="O71" i="11"/>
  <c r="N71" i="11"/>
  <c r="I71" i="11"/>
  <c r="R70" i="11"/>
  <c r="Q70" i="11"/>
  <c r="O70" i="11"/>
  <c r="N70" i="11"/>
  <c r="I70" i="11"/>
  <c r="R69" i="11"/>
  <c r="Q69" i="11"/>
  <c r="O69" i="11"/>
  <c r="N69" i="11"/>
  <c r="G69" i="11"/>
  <c r="I69" i="11" s="1"/>
  <c r="R67" i="11"/>
  <c r="Q67" i="11"/>
  <c r="O67" i="11"/>
  <c r="N67" i="11"/>
  <c r="J67" i="11"/>
  <c r="R66" i="11"/>
  <c r="Q66" i="11"/>
  <c r="O66" i="11"/>
  <c r="N66" i="11"/>
  <c r="J66" i="11"/>
  <c r="R65" i="11"/>
  <c r="Q65" i="11"/>
  <c r="O65" i="11"/>
  <c r="N65" i="11"/>
  <c r="J65" i="11"/>
  <c r="R64" i="11"/>
  <c r="Q64" i="11"/>
  <c r="O64" i="11"/>
  <c r="N64" i="11"/>
  <c r="J64" i="11"/>
  <c r="R63" i="11"/>
  <c r="Q63" i="11"/>
  <c r="O63" i="11"/>
  <c r="N63" i="11"/>
  <c r="J63" i="11"/>
  <c r="R62" i="11"/>
  <c r="Q62" i="11"/>
  <c r="O62" i="11"/>
  <c r="N62" i="11"/>
  <c r="J62" i="11"/>
  <c r="R61" i="11"/>
  <c r="Q61" i="11"/>
  <c r="O61" i="11"/>
  <c r="N61" i="11"/>
  <c r="J61" i="11"/>
  <c r="R60" i="11"/>
  <c r="Q60" i="11"/>
  <c r="O60" i="11"/>
  <c r="N60" i="11"/>
  <c r="J60" i="11"/>
  <c r="R59" i="11"/>
  <c r="Q59" i="11"/>
  <c r="O59" i="11"/>
  <c r="N59" i="11"/>
  <c r="J59" i="11"/>
  <c r="R58" i="11"/>
  <c r="Q58" i="11"/>
  <c r="O58" i="11"/>
  <c r="N58" i="11"/>
  <c r="J58" i="11"/>
  <c r="R57" i="11"/>
  <c r="Q57" i="11"/>
  <c r="O57" i="11"/>
  <c r="N57" i="11"/>
  <c r="J57" i="11"/>
  <c r="R56" i="11"/>
  <c r="Q56" i="11"/>
  <c r="O56" i="11"/>
  <c r="N56" i="11"/>
  <c r="J56" i="11"/>
  <c r="R55" i="11"/>
  <c r="Q55" i="11"/>
  <c r="O55" i="11"/>
  <c r="N55" i="11"/>
  <c r="J55" i="11"/>
  <c r="R54" i="11"/>
  <c r="Q54" i="11"/>
  <c r="O54" i="11"/>
  <c r="N54" i="11"/>
  <c r="J54" i="11"/>
  <c r="R53" i="11"/>
  <c r="Q53" i="11"/>
  <c r="O53" i="11"/>
  <c r="N53" i="11"/>
  <c r="J53" i="11"/>
  <c r="R52" i="11"/>
  <c r="Q52" i="11"/>
  <c r="O52" i="11"/>
  <c r="N52" i="11"/>
  <c r="J52" i="11"/>
  <c r="R51" i="11"/>
  <c r="Q51" i="11"/>
  <c r="O51" i="11"/>
  <c r="N51" i="11"/>
  <c r="J51" i="11"/>
  <c r="R50" i="11"/>
  <c r="Q50" i="11"/>
  <c r="O50" i="11"/>
  <c r="N50" i="11"/>
  <c r="J50" i="11"/>
  <c r="R49" i="11"/>
  <c r="Q49" i="11"/>
  <c r="O49" i="11"/>
  <c r="N49" i="11"/>
  <c r="J49" i="11"/>
  <c r="R48" i="11"/>
  <c r="Q48" i="11"/>
  <c r="O48" i="11"/>
  <c r="N48" i="11"/>
  <c r="J48" i="11"/>
  <c r="R47" i="11"/>
  <c r="Q47" i="11"/>
  <c r="O47" i="11"/>
  <c r="N47" i="11"/>
  <c r="J47" i="11"/>
  <c r="R46" i="11"/>
  <c r="Q46" i="11"/>
  <c r="O46" i="11"/>
  <c r="N46" i="11"/>
  <c r="J46" i="11"/>
  <c r="R45" i="11"/>
  <c r="Q45" i="11"/>
  <c r="O45" i="11"/>
  <c r="N45" i="11"/>
  <c r="J45" i="11"/>
  <c r="R44" i="11"/>
  <c r="Q44" i="11"/>
  <c r="O44" i="11"/>
  <c r="N44" i="11"/>
  <c r="J44" i="11"/>
  <c r="R43" i="11"/>
  <c r="Q43" i="11"/>
  <c r="O43" i="11"/>
  <c r="N43" i="11"/>
  <c r="J43" i="11"/>
  <c r="Y42" i="11"/>
  <c r="X42" i="11"/>
  <c r="W42" i="11"/>
  <c r="R41" i="11"/>
  <c r="Q41" i="11"/>
  <c r="O41" i="11"/>
  <c r="N41" i="11"/>
  <c r="I41" i="11"/>
  <c r="R40" i="11"/>
  <c r="Q40" i="11"/>
  <c r="O40" i="11"/>
  <c r="N40" i="11"/>
  <c r="I40" i="11"/>
  <c r="R39" i="11"/>
  <c r="Q39" i="11"/>
  <c r="O39" i="11"/>
  <c r="N39" i="11"/>
  <c r="I39" i="11"/>
  <c r="R38" i="11"/>
  <c r="Q38" i="11"/>
  <c r="O38" i="11"/>
  <c r="N38" i="11"/>
  <c r="I38" i="11"/>
  <c r="R37" i="11"/>
  <c r="Q37" i="11"/>
  <c r="O37" i="11"/>
  <c r="N37" i="11"/>
  <c r="I37" i="11"/>
  <c r="Q36" i="11"/>
  <c r="H36" i="11"/>
  <c r="I36" i="11" s="1"/>
  <c r="R35" i="11"/>
  <c r="Q35" i="11"/>
  <c r="O35" i="11"/>
  <c r="N35" i="11"/>
  <c r="H35" i="11"/>
  <c r="R34" i="11"/>
  <c r="Q34" i="11"/>
  <c r="O34" i="11"/>
  <c r="N34" i="11"/>
  <c r="H34" i="11"/>
  <c r="I34" i="11" s="1"/>
  <c r="R33" i="11"/>
  <c r="Q33" i="11"/>
  <c r="O33" i="11"/>
  <c r="N33" i="11"/>
  <c r="H33" i="11"/>
  <c r="R32" i="11"/>
  <c r="Q32" i="11"/>
  <c r="O32" i="11"/>
  <c r="N32" i="11"/>
  <c r="I32" i="11"/>
  <c r="R31" i="11"/>
  <c r="Q31" i="11"/>
  <c r="O31" i="11"/>
  <c r="N31" i="11"/>
  <c r="I31" i="11"/>
  <c r="R30" i="11"/>
  <c r="Q30" i="11"/>
  <c r="O30" i="11"/>
  <c r="N30" i="11"/>
  <c r="I30" i="11"/>
  <c r="R29" i="11"/>
  <c r="Q29" i="11"/>
  <c r="O29" i="11"/>
  <c r="N29" i="11"/>
  <c r="I29" i="11"/>
  <c r="R28" i="11"/>
  <c r="Q28" i="11"/>
  <c r="O28" i="11"/>
  <c r="N28" i="11"/>
  <c r="I28" i="11"/>
  <c r="R27" i="11"/>
  <c r="Q27" i="11"/>
  <c r="O27" i="11"/>
  <c r="N27" i="11"/>
  <c r="I27" i="11"/>
  <c r="R26" i="11"/>
  <c r="Q26" i="11"/>
  <c r="O26" i="11"/>
  <c r="N26" i="11"/>
  <c r="I26" i="11"/>
  <c r="R25" i="11"/>
  <c r="Q25" i="11"/>
  <c r="O25" i="11"/>
  <c r="N25" i="11"/>
  <c r="I25" i="11"/>
  <c r="R24" i="11"/>
  <c r="Q24" i="11"/>
  <c r="O24" i="11"/>
  <c r="N24" i="11"/>
  <c r="I24" i="11"/>
  <c r="R23" i="11"/>
  <c r="Q23" i="11"/>
  <c r="O23" i="11"/>
  <c r="N23" i="11"/>
  <c r="I23" i="11"/>
  <c r="R22" i="11"/>
  <c r="Q22" i="11"/>
  <c r="O22" i="11"/>
  <c r="N22" i="11"/>
  <c r="I22" i="11"/>
  <c r="R21" i="11"/>
  <c r="Q21" i="11"/>
  <c r="O21" i="11"/>
  <c r="N21" i="11"/>
  <c r="I21" i="11"/>
  <c r="R20" i="11"/>
  <c r="Q20" i="11"/>
  <c r="O20" i="11"/>
  <c r="N20" i="11"/>
  <c r="I20" i="11"/>
  <c r="R19" i="11"/>
  <c r="Q19" i="11"/>
  <c r="O19" i="11"/>
  <c r="N19" i="11"/>
  <c r="I19" i="11"/>
  <c r="P380" i="11" l="1"/>
  <c r="P113" i="11"/>
  <c r="P68" i="11"/>
  <c r="G275" i="11"/>
  <c r="I518" i="11"/>
  <c r="S88" i="11"/>
  <c r="S96" i="11"/>
  <c r="T121" i="11"/>
  <c r="X121" i="11" s="1"/>
  <c r="G134" i="11"/>
  <c r="I134" i="11" s="1"/>
  <c r="T208" i="11"/>
  <c r="Y208" i="11" s="1"/>
  <c r="G1031" i="11"/>
  <c r="I1031" i="11" s="1"/>
  <c r="T1835" i="11"/>
  <c r="W1835" i="11" s="1"/>
  <c r="N1611" i="11"/>
  <c r="N1487" i="11"/>
  <c r="N1287" i="11"/>
  <c r="T1039" i="11"/>
  <c r="Y1039" i="11" s="1"/>
  <c r="T814" i="11"/>
  <c r="X814" i="11" s="1"/>
  <c r="T782" i="11"/>
  <c r="X782" i="11" s="1"/>
  <c r="N558" i="11"/>
  <c r="N396" i="11"/>
  <c r="S635" i="11"/>
  <c r="N1834" i="11"/>
  <c r="N1410" i="11"/>
  <c r="N1030" i="11"/>
  <c r="N1443" i="11"/>
  <c r="N1789" i="11"/>
  <c r="N1773" i="11"/>
  <c r="T1765" i="11"/>
  <c r="V1767" i="11" s="1"/>
  <c r="N1749" i="11"/>
  <c r="N1665" i="11"/>
  <c r="N1605" i="11"/>
  <c r="N1581" i="11"/>
  <c r="N1521" i="11"/>
  <c r="N1473" i="11"/>
  <c r="N1377" i="11"/>
  <c r="N1269" i="11"/>
  <c r="N1249" i="11"/>
  <c r="N1221" i="11"/>
  <c r="N1185" i="11"/>
  <c r="N320" i="11"/>
  <c r="N316" i="11"/>
  <c r="N276" i="11"/>
  <c r="N268" i="11"/>
  <c r="N1359" i="11"/>
  <c r="N392" i="11"/>
  <c r="N1556" i="11"/>
  <c r="N1476" i="11"/>
  <c r="N1336" i="11"/>
  <c r="N1292" i="11"/>
  <c r="T827" i="11"/>
  <c r="W827" i="11" s="1"/>
  <c r="T611" i="11"/>
  <c r="X611" i="11" s="1"/>
  <c r="N459" i="11"/>
  <c r="N250" i="11"/>
  <c r="N1279" i="11"/>
  <c r="N1750" i="11"/>
  <c r="N1738" i="11"/>
  <c r="N1614" i="11"/>
  <c r="N1146" i="11"/>
  <c r="T749" i="11"/>
  <c r="X749" i="11" s="1"/>
  <c r="N415" i="11"/>
  <c r="N295" i="11"/>
  <c r="N337" i="11"/>
  <c r="N1032" i="11"/>
  <c r="N1284" i="11"/>
  <c r="N1740" i="11"/>
  <c r="N1848" i="11"/>
  <c r="N279" i="11"/>
  <c r="N310" i="11"/>
  <c r="N332" i="11"/>
  <c r="N360" i="11"/>
  <c r="N417" i="11"/>
  <c r="N506" i="11"/>
  <c r="N510" i="11"/>
  <c r="N626" i="11"/>
  <c r="N634" i="11"/>
  <c r="N858" i="11"/>
  <c r="N879" i="11"/>
  <c r="N251" i="11"/>
  <c r="N262" i="11"/>
  <c r="N271" i="11"/>
  <c r="N294" i="11"/>
  <c r="N314" i="11"/>
  <c r="N324" i="11"/>
  <c r="N336" i="11"/>
  <c r="N364" i="11"/>
  <c r="N372" i="11"/>
  <c r="N416" i="11"/>
  <c r="N432" i="11"/>
  <c r="N566" i="11"/>
  <c r="N582" i="11"/>
  <c r="N642" i="11"/>
  <c r="N870" i="11"/>
  <c r="N882" i="11"/>
  <c r="N976" i="11"/>
  <c r="N1000" i="11"/>
  <c r="N1014" i="11"/>
  <c r="N1034" i="11"/>
  <c r="N1040" i="11"/>
  <c r="N1147" i="11"/>
  <c r="N1150" i="11"/>
  <c r="N1170" i="11"/>
  <c r="N1182" i="11"/>
  <c r="N1282" i="11"/>
  <c r="N1298" i="11"/>
  <c r="N1314" i="11"/>
  <c r="N1338" i="11"/>
  <c r="N1358" i="11"/>
  <c r="N1384" i="11"/>
  <c r="N1390" i="11"/>
  <c r="N1418" i="11"/>
  <c r="N1422" i="11"/>
  <c r="N1523" i="11"/>
  <c r="N1570" i="11"/>
  <c r="N1582" i="11"/>
  <c r="N1588" i="11"/>
  <c r="N1594" i="11"/>
  <c r="N1599" i="11"/>
  <c r="N1622" i="11"/>
  <c r="N1626" i="11"/>
  <c r="N1634" i="11"/>
  <c r="N1638" i="11"/>
  <c r="N1646" i="11"/>
  <c r="N1650" i="11"/>
  <c r="N1658" i="11"/>
  <c r="N1662" i="11"/>
  <c r="N1666" i="11"/>
  <c r="N1678" i="11"/>
  <c r="N1840" i="11"/>
  <c r="N1846" i="11"/>
  <c r="N1850" i="11"/>
  <c r="O1160" i="11"/>
  <c r="T1160" i="11"/>
  <c r="N446" i="11"/>
  <c r="N1312" i="11"/>
  <c r="N1676" i="11"/>
  <c r="N258" i="11"/>
  <c r="N319" i="11"/>
  <c r="N412" i="11"/>
  <c r="N514" i="11"/>
  <c r="N878" i="11"/>
  <c r="N910" i="11"/>
  <c r="N1163" i="11"/>
  <c r="N1540" i="11"/>
  <c r="N1631" i="11"/>
  <c r="Q1820" i="11"/>
  <c r="N1824" i="11"/>
  <c r="N1847" i="11"/>
  <c r="N914" i="11"/>
  <c r="N954" i="11"/>
  <c r="N960" i="11"/>
  <c r="N970" i="11"/>
  <c r="N1015" i="11"/>
  <c r="N1023" i="11"/>
  <c r="N1046" i="11"/>
  <c r="N1162" i="11"/>
  <c r="N1186" i="11"/>
  <c r="N1194" i="11"/>
  <c r="N1206" i="11"/>
  <c r="N1218" i="11"/>
  <c r="N1230" i="11"/>
  <c r="N1266" i="11"/>
  <c r="N1294" i="11"/>
  <c r="N1304" i="11"/>
  <c r="N1320" i="11"/>
  <c r="N1322" i="11"/>
  <c r="N1326" i="11"/>
  <c r="N1332" i="11"/>
  <c r="N1334" i="11"/>
  <c r="N1366" i="11"/>
  <c r="N1378" i="11"/>
  <c r="N1383" i="11"/>
  <c r="N1406" i="11"/>
  <c r="N1438" i="11"/>
  <c r="N1450" i="11"/>
  <c r="N1462" i="11"/>
  <c r="N1474" i="11"/>
  <c r="N1486" i="11"/>
  <c r="N1492" i="11"/>
  <c r="N1498" i="11"/>
  <c r="N1510" i="11"/>
  <c r="N1522" i="11"/>
  <c r="N1528" i="11"/>
  <c r="N1560" i="11"/>
  <c r="N1571" i="11"/>
  <c r="N1600" i="11"/>
  <c r="N1606" i="11"/>
  <c r="N1664" i="11"/>
  <c r="N1690" i="11"/>
  <c r="N1696" i="11"/>
  <c r="N1706" i="11"/>
  <c r="N1710" i="11"/>
  <c r="N1716" i="11"/>
  <c r="N1718" i="11"/>
  <c r="N1722" i="11"/>
  <c r="N1724" i="11"/>
  <c r="N1730" i="11"/>
  <c r="N1734" i="11"/>
  <c r="N1762" i="11"/>
  <c r="N1766" i="11"/>
  <c r="N1770" i="11"/>
  <c r="N1778" i="11"/>
  <c r="N1794" i="11"/>
  <c r="N1806" i="11"/>
  <c r="N1826" i="11"/>
  <c r="N1832" i="11"/>
  <c r="O1315" i="11"/>
  <c r="Q1315" i="11"/>
  <c r="T1315" i="11" s="1"/>
  <c r="X1315" i="11" s="1"/>
  <c r="N433" i="11"/>
  <c r="N463" i="11"/>
  <c r="N647" i="11"/>
  <c r="T731" i="11"/>
  <c r="X731" i="11" s="1"/>
  <c r="N871" i="11"/>
  <c r="N907" i="11"/>
  <c r="N951" i="11"/>
  <c r="N967" i="11"/>
  <c r="N1415" i="11"/>
  <c r="N1427" i="11"/>
  <c r="N1479" i="11"/>
  <c r="N1583" i="11"/>
  <c r="N1783" i="11"/>
  <c r="N1823" i="11"/>
  <c r="N255" i="11"/>
  <c r="N401" i="11"/>
  <c r="N467" i="11"/>
  <c r="N491" i="11"/>
  <c r="O531" i="11"/>
  <c r="O607" i="11"/>
  <c r="P590" i="11" s="1"/>
  <c r="N887" i="11"/>
  <c r="N1027" i="11"/>
  <c r="N1171" i="11"/>
  <c r="N1211" i="11"/>
  <c r="N1235" i="11"/>
  <c r="N1243" i="11"/>
  <c r="N1251" i="11"/>
  <c r="N1259" i="11"/>
  <c r="N1355" i="11"/>
  <c r="N1391" i="11"/>
  <c r="N1799" i="11"/>
  <c r="N1827" i="11"/>
  <c r="N263" i="11"/>
  <c r="N270" i="11"/>
  <c r="N274" i="11"/>
  <c r="N282" i="11"/>
  <c r="N286" i="11"/>
  <c r="N291" i="11"/>
  <c r="N298" i="11"/>
  <c r="N311" i="11"/>
  <c r="N318" i="11"/>
  <c r="N331" i="11"/>
  <c r="N391" i="11"/>
  <c r="N407" i="11"/>
  <c r="Q415" i="11"/>
  <c r="T415" i="11" s="1"/>
  <c r="W415" i="11" s="1"/>
  <c r="N419" i="11"/>
  <c r="N505" i="11"/>
  <c r="N511" i="11"/>
  <c r="N515" i="11"/>
  <c r="N581" i="11"/>
  <c r="N633" i="11"/>
  <c r="N959" i="11"/>
  <c r="N1203" i="11"/>
  <c r="N1307" i="11"/>
  <c r="N1343" i="11"/>
  <c r="N1347" i="11"/>
  <c r="N1371" i="11"/>
  <c r="N1445" i="11"/>
  <c r="N1475" i="11"/>
  <c r="N1659" i="11"/>
  <c r="N1791" i="11"/>
  <c r="N1831" i="11"/>
  <c r="T984" i="11"/>
  <c r="O984" i="11"/>
  <c r="P982" i="11" s="1"/>
  <c r="N863" i="11"/>
  <c r="S875" i="11"/>
  <c r="N888" i="11"/>
  <c r="N955" i="11"/>
  <c r="N968" i="11"/>
  <c r="N975" i="11"/>
  <c r="N1155" i="11"/>
  <c r="N1179" i="11"/>
  <c r="N1227" i="11"/>
  <c r="N1272" i="11"/>
  <c r="N1299" i="11"/>
  <c r="N1323" i="11"/>
  <c r="N1455" i="11"/>
  <c r="N1467" i="11"/>
  <c r="N1499" i="11"/>
  <c r="N1511" i="11"/>
  <c r="N1563" i="11"/>
  <c r="N1575" i="11"/>
  <c r="N1623" i="11"/>
  <c r="N1703" i="11"/>
  <c r="N1731" i="11"/>
  <c r="N1736" i="11"/>
  <c r="N1807" i="11"/>
  <c r="N1835" i="11"/>
  <c r="N1843" i="11"/>
  <c r="N1851" i="11"/>
  <c r="N292" i="11"/>
  <c r="S195" i="11"/>
  <c r="T195" i="11"/>
  <c r="Y195" i="11" s="1"/>
  <c r="T39" i="11"/>
  <c r="Y39" i="11" s="1"/>
  <c r="T107" i="11"/>
  <c r="X107" i="11" s="1"/>
  <c r="T717" i="11"/>
  <c r="W717" i="11" s="1"/>
  <c r="T803" i="11"/>
  <c r="W803" i="11" s="1"/>
  <c r="G1192" i="11"/>
  <c r="I1192" i="11" s="1"/>
  <c r="T1828" i="11"/>
  <c r="Y1828" i="11" s="1"/>
  <c r="N1775" i="11"/>
  <c r="N1763" i="11"/>
  <c r="N1751" i="11"/>
  <c r="N1727" i="11"/>
  <c r="N1707" i="11"/>
  <c r="N1647" i="11"/>
  <c r="N1635" i="11"/>
  <c r="N1619" i="11"/>
  <c r="N1559" i="11"/>
  <c r="N1551" i="11"/>
  <c r="N1527" i="11"/>
  <c r="N1491" i="11"/>
  <c r="N1451" i="11"/>
  <c r="N1395" i="11"/>
  <c r="N1335" i="11"/>
  <c r="N1331" i="11"/>
  <c r="N1319" i="11"/>
  <c r="N1291" i="11"/>
  <c r="N1283" i="11"/>
  <c r="N1263" i="11"/>
  <c r="N1207" i="11"/>
  <c r="N1191" i="11"/>
  <c r="N1151" i="11"/>
  <c r="N1143" i="11"/>
  <c r="N915" i="11"/>
  <c r="N635" i="11"/>
  <c r="N587" i="11"/>
  <c r="N252" i="11"/>
  <c r="T478" i="11"/>
  <c r="X478" i="11" s="1"/>
  <c r="N1829" i="11"/>
  <c r="N1721" i="11"/>
  <c r="N1697" i="11"/>
  <c r="N1685" i="11"/>
  <c r="N1629" i="11"/>
  <c r="N1469" i="11"/>
  <c r="N1289" i="11"/>
  <c r="N411" i="11"/>
  <c r="T137" i="11"/>
  <c r="V138" i="11" s="1"/>
  <c r="S193" i="11"/>
  <c r="G290" i="11"/>
  <c r="G296" i="11"/>
  <c r="G1200" i="11"/>
  <c r="I1200" i="11" s="1"/>
  <c r="N1852" i="11"/>
  <c r="N1844" i="11"/>
  <c r="N1836" i="11"/>
  <c r="N1828" i="11"/>
  <c r="T1824" i="11"/>
  <c r="Y1824" i="11" s="1"/>
  <c r="N1804" i="11"/>
  <c r="N1796" i="11"/>
  <c r="N1788" i="11"/>
  <c r="N1780" i="11"/>
  <c r="N1776" i="11"/>
  <c r="N1772" i="11"/>
  <c r="N1768" i="11"/>
  <c r="N1764" i="11"/>
  <c r="N1760" i="11"/>
  <c r="N1756" i="11"/>
  <c r="N1752" i="11"/>
  <c r="N1748" i="11"/>
  <c r="N1744" i="11"/>
  <c r="N1732" i="11"/>
  <c r="N1728" i="11"/>
  <c r="N1712" i="11"/>
  <c r="N1708" i="11"/>
  <c r="N1704" i="11"/>
  <c r="N1700" i="11"/>
  <c r="N1692" i="11"/>
  <c r="N1680" i="11"/>
  <c r="N1668" i="11"/>
  <c r="N1660" i="11"/>
  <c r="N1656" i="11"/>
  <c r="N1652" i="11"/>
  <c r="N1648" i="11"/>
  <c r="N1644" i="11"/>
  <c r="N1640" i="11"/>
  <c r="N1636" i="11"/>
  <c r="N1628" i="11"/>
  <c r="N1624" i="11"/>
  <c r="N1620" i="11"/>
  <c r="N1616" i="11"/>
  <c r="N1612" i="11"/>
  <c r="N1596" i="11"/>
  <c r="N1592" i="11"/>
  <c r="N1584" i="11"/>
  <c r="N1576" i="11"/>
  <c r="N1572" i="11"/>
  <c r="N1568" i="11"/>
  <c r="N1564" i="11"/>
  <c r="N1532" i="11"/>
  <c r="N1524" i="11"/>
  <c r="N1520" i="11"/>
  <c r="N1516" i="11"/>
  <c r="N1512" i="11"/>
  <c r="N1508" i="11"/>
  <c r="N1504" i="11"/>
  <c r="N1500" i="11"/>
  <c r="N1496" i="11"/>
  <c r="N1484" i="11"/>
  <c r="N1472" i="11"/>
  <c r="N1468" i="11"/>
  <c r="N1464" i="11"/>
  <c r="N1460" i="11"/>
  <c r="N1456" i="11"/>
  <c r="N1452" i="11"/>
  <c r="N1448" i="11"/>
  <c r="N1444" i="11"/>
  <c r="N1440" i="11"/>
  <c r="N1436" i="11"/>
  <c r="N1432" i="11"/>
  <c r="N1428" i="11"/>
  <c r="N1424" i="11"/>
  <c r="N1420" i="11"/>
  <c r="N1408" i="11"/>
  <c r="N1404" i="11"/>
  <c r="N1400" i="11"/>
  <c r="N1396" i="11"/>
  <c r="N1392" i="11"/>
  <c r="N1388" i="11"/>
  <c r="N1380" i="11"/>
  <c r="N1372" i="11"/>
  <c r="N1368" i="11"/>
  <c r="N1364" i="11"/>
  <c r="N1360" i="11"/>
  <c r="N1356" i="11"/>
  <c r="N1352" i="11"/>
  <c r="N1348" i="11"/>
  <c r="N1344" i="11"/>
  <c r="N1340" i="11"/>
  <c r="N1328" i="11"/>
  <c r="N1324" i="11"/>
  <c r="N1316" i="11"/>
  <c r="N1308" i="11"/>
  <c r="N1296" i="11"/>
  <c r="N1276" i="11"/>
  <c r="N1268" i="11"/>
  <c r="T1260" i="11"/>
  <c r="V1264" i="11" s="1"/>
  <c r="T1212" i="11"/>
  <c r="V1214" i="11" s="1"/>
  <c r="T1088" i="11"/>
  <c r="V1091" i="11" s="1"/>
  <c r="T1060" i="11"/>
  <c r="V1061" i="11" s="1"/>
  <c r="N1044" i="11"/>
  <c r="N1036" i="11"/>
  <c r="N1024" i="11"/>
  <c r="N980" i="11"/>
  <c r="N972" i="11"/>
  <c r="N964" i="11"/>
  <c r="N936" i="11"/>
  <c r="N876" i="11"/>
  <c r="N860" i="11"/>
  <c r="T672" i="11"/>
  <c r="X672" i="11" s="1"/>
  <c r="N648" i="11"/>
  <c r="N640" i="11"/>
  <c r="N632" i="11"/>
  <c r="N624" i="11"/>
  <c r="N588" i="11"/>
  <c r="N572" i="11"/>
  <c r="N564" i="11"/>
  <c r="S560" i="11"/>
  <c r="N504" i="11"/>
  <c r="N488" i="11"/>
  <c r="N1604" i="11"/>
  <c r="N1580" i="11"/>
  <c r="N1544" i="11"/>
  <c r="N1412" i="11"/>
  <c r="T544" i="11"/>
  <c r="X544" i="11" s="1"/>
  <c r="N460" i="11"/>
  <c r="T33" i="11"/>
  <c r="Y33" i="11" s="1"/>
  <c r="S50" i="11"/>
  <c r="T462" i="11"/>
  <c r="Y462" i="11" s="1"/>
  <c r="N1849" i="11"/>
  <c r="N1837" i="11"/>
  <c r="N1833" i="11"/>
  <c r="N1825" i="11"/>
  <c r="N1761" i="11"/>
  <c r="N1745" i="11"/>
  <c r="N1713" i="11"/>
  <c r="N1617" i="11"/>
  <c r="N1553" i="11"/>
  <c r="N1457" i="11"/>
  <c r="N1329" i="11"/>
  <c r="N1313" i="11"/>
  <c r="N1309" i="11"/>
  <c r="N1293" i="11"/>
  <c r="N1273" i="11"/>
  <c r="N1253" i="11"/>
  <c r="N1217" i="11"/>
  <c r="N1189" i="11"/>
  <c r="N1149" i="11"/>
  <c r="G1060" i="11"/>
  <c r="I1060" i="11" s="1"/>
  <c r="N1684" i="11"/>
  <c r="N1608" i="11"/>
  <c r="N1548" i="11"/>
  <c r="N1488" i="11"/>
  <c r="N1480" i="11"/>
  <c r="N1416" i="11"/>
  <c r="N884" i="11"/>
  <c r="N580" i="11"/>
  <c r="N496" i="11"/>
  <c r="N348" i="11"/>
  <c r="T123" i="11"/>
  <c r="X123" i="11" s="1"/>
  <c r="G1039" i="11"/>
  <c r="I1039" i="11" s="1"/>
  <c r="N1767" i="11"/>
  <c r="N1755" i="11"/>
  <c r="N1743" i="11"/>
  <c r="N1739" i="11"/>
  <c r="N1719" i="11"/>
  <c r="N1695" i="11"/>
  <c r="N1671" i="11"/>
  <c r="N1667" i="11"/>
  <c r="N1655" i="11"/>
  <c r="N1643" i="11"/>
  <c r="N1607" i="11"/>
  <c r="N1595" i="11"/>
  <c r="N1587" i="11"/>
  <c r="N1547" i="11"/>
  <c r="N1539" i="11"/>
  <c r="N1535" i="11"/>
  <c r="N1503" i="11"/>
  <c r="N1439" i="11"/>
  <c r="N1419" i="11"/>
  <c r="N1407" i="11"/>
  <c r="N1379" i="11"/>
  <c r="N1367" i="11"/>
  <c r="N1311" i="11"/>
  <c r="N1303" i="11"/>
  <c r="N1271" i="11"/>
  <c r="N1255" i="11"/>
  <c r="N1247" i="11"/>
  <c r="N1239" i="11"/>
  <c r="N1231" i="11"/>
  <c r="N1223" i="11"/>
  <c r="N1215" i="11"/>
  <c r="N1183" i="11"/>
  <c r="N1175" i="11"/>
  <c r="N1159" i="11"/>
  <c r="N903" i="11"/>
  <c r="N639" i="11"/>
  <c r="N583" i="11"/>
  <c r="N563" i="11"/>
  <c r="N559" i="11"/>
  <c r="N455" i="11"/>
  <c r="T28" i="11"/>
  <c r="Y28" i="11" s="1"/>
  <c r="T48" i="11"/>
  <c r="S58" i="11"/>
  <c r="T58" i="11"/>
  <c r="Y58" i="11" s="1"/>
  <c r="S63" i="11"/>
  <c r="T72" i="11"/>
  <c r="Y72" i="11" s="1"/>
  <c r="T80" i="11"/>
  <c r="Y80" i="11" s="1"/>
  <c r="T84" i="11"/>
  <c r="X84" i="11" s="1"/>
  <c r="G284" i="11"/>
  <c r="G384" i="11"/>
  <c r="I384" i="11" s="1"/>
  <c r="T546" i="11"/>
  <c r="W546" i="11" s="1"/>
  <c r="T835" i="11"/>
  <c r="Y835" i="11" s="1"/>
  <c r="T846" i="11"/>
  <c r="X846" i="11" s="1"/>
  <c r="T1200" i="11"/>
  <c r="Y1200" i="11" s="1"/>
  <c r="S66" i="11"/>
  <c r="T95" i="11"/>
  <c r="Y95" i="11" s="1"/>
  <c r="T106" i="11"/>
  <c r="S110" i="11"/>
  <c r="T240" i="11"/>
  <c r="X240" i="11" s="1"/>
  <c r="T603" i="11"/>
  <c r="X603" i="11" s="1"/>
  <c r="T677" i="11"/>
  <c r="X677" i="11" s="1"/>
  <c r="T608" i="11"/>
  <c r="Y608" i="11" s="1"/>
  <c r="G1256" i="11"/>
  <c r="I1256" i="11" s="1"/>
  <c r="N1720" i="11"/>
  <c r="N1688" i="11"/>
  <c r="N1672" i="11"/>
  <c r="N1632" i="11"/>
  <c r="N1552" i="11"/>
  <c r="N1288" i="11"/>
  <c r="N868" i="11"/>
  <c r="T736" i="11"/>
  <c r="X736" i="11" s="1"/>
  <c r="T388" i="11"/>
  <c r="X388" i="11" s="1"/>
  <c r="N344" i="11"/>
  <c r="N300" i="11"/>
  <c r="T20" i="11"/>
  <c r="Y20" i="11" s="1"/>
  <c r="T66" i="11"/>
  <c r="X66" i="11" s="1"/>
  <c r="T40" i="11"/>
  <c r="Y40" i="11" s="1"/>
  <c r="T50" i="11"/>
  <c r="Y50" i="11" s="1"/>
  <c r="T64" i="11"/>
  <c r="W64" i="11" s="1"/>
  <c r="T69" i="11"/>
  <c r="X69" i="11" s="1"/>
  <c r="S93" i="11"/>
  <c r="T94" i="11"/>
  <c r="X94" i="11" s="1"/>
  <c r="S100" i="11"/>
  <c r="S112" i="11"/>
  <c r="T112" i="11"/>
  <c r="X112" i="11" s="1"/>
  <c r="T161" i="11"/>
  <c r="V162" i="11" s="1"/>
  <c r="T709" i="11"/>
  <c r="Y709" i="11" s="1"/>
  <c r="T755" i="11"/>
  <c r="Y755" i="11" s="1"/>
  <c r="T875" i="11"/>
  <c r="Y875" i="11" s="1"/>
  <c r="T943" i="11"/>
  <c r="W943" i="11" s="1"/>
  <c r="T957" i="11"/>
  <c r="X957" i="11" s="1"/>
  <c r="N1715" i="11"/>
  <c r="N1691" i="11"/>
  <c r="N1683" i="11"/>
  <c r="N1679" i="11"/>
  <c r="N1515" i="11"/>
  <c r="N1463" i="11"/>
  <c r="N1431" i="11"/>
  <c r="N1199" i="11"/>
  <c r="N1167" i="11"/>
  <c r="T959" i="11"/>
  <c r="W959" i="11" s="1"/>
  <c r="N935" i="11"/>
  <c r="N911" i="11"/>
  <c r="S871" i="11"/>
  <c r="N631" i="11"/>
  <c r="N627" i="11"/>
  <c r="N623" i="11"/>
  <c r="N619" i="11"/>
  <c r="N579" i="11"/>
  <c r="N575" i="11"/>
  <c r="N571" i="11"/>
  <c r="N567" i="11"/>
  <c r="N503" i="11"/>
  <c r="N499" i="11"/>
  <c r="N495" i="11"/>
  <c r="N487" i="11"/>
  <c r="N431" i="11"/>
  <c r="S423" i="11"/>
  <c r="N379" i="11"/>
  <c r="N375" i="11"/>
  <c r="N371" i="11"/>
  <c r="N367" i="11"/>
  <c r="N363" i="11"/>
  <c r="N359" i="11"/>
  <c r="N355" i="11"/>
  <c r="N343" i="11"/>
  <c r="N315" i="11"/>
  <c r="T303" i="11"/>
  <c r="W303" i="11" s="1"/>
  <c r="N283" i="11"/>
  <c r="N267" i="11"/>
  <c r="G399" i="11"/>
  <c r="I399" i="11" s="1"/>
  <c r="G486" i="11"/>
  <c r="T655" i="11"/>
  <c r="X655" i="11" s="1"/>
  <c r="T693" i="11"/>
  <c r="W693" i="11" s="1"/>
  <c r="T715" i="11"/>
  <c r="Y715" i="11" s="1"/>
  <c r="T854" i="11"/>
  <c r="X854" i="11" s="1"/>
  <c r="G904" i="11"/>
  <c r="I904" i="11" s="1"/>
  <c r="G1043" i="11"/>
  <c r="I1043" i="11" s="1"/>
  <c r="T1310" i="11"/>
  <c r="V1312" i="11" s="1"/>
  <c r="G1136" i="11"/>
  <c r="I1136" i="11" s="1"/>
  <c r="T1429" i="11"/>
  <c r="Y1429" i="11" s="1"/>
  <c r="N1845" i="11"/>
  <c r="N1841" i="11"/>
  <c r="N1805" i="11"/>
  <c r="N1797" i="11"/>
  <c r="N1781" i="11"/>
  <c r="N1769" i="11"/>
  <c r="N1757" i="11"/>
  <c r="N1737" i="11"/>
  <c r="N1733" i="11"/>
  <c r="N1725" i="11"/>
  <c r="N1709" i="11"/>
  <c r="N1701" i="11"/>
  <c r="N1689" i="11"/>
  <c r="N1677" i="11"/>
  <c r="N1673" i="11"/>
  <c r="N1661" i="11"/>
  <c r="N1653" i="11"/>
  <c r="N1649" i="11"/>
  <c r="N1641" i="11"/>
  <c r="N1637" i="11"/>
  <c r="N1625" i="11"/>
  <c r="N1613" i="11"/>
  <c r="N1601" i="11"/>
  <c r="N1593" i="11"/>
  <c r="N1589" i="11"/>
  <c r="N1569" i="11"/>
  <c r="N1565" i="11"/>
  <c r="N1557" i="11"/>
  <c r="N1545" i="11"/>
  <c r="N1541" i="11"/>
  <c r="N1533" i="11"/>
  <c r="N1529" i="11"/>
  <c r="N1517" i="11"/>
  <c r="N1509" i="11"/>
  <c r="N1505" i="11"/>
  <c r="N1497" i="11"/>
  <c r="N1493" i="11"/>
  <c r="N1485" i="11"/>
  <c r="N1481" i="11"/>
  <c r="N1461" i="11"/>
  <c r="T1453" i="11"/>
  <c r="N1449" i="11"/>
  <c r="N1437" i="11"/>
  <c r="N1433" i="11"/>
  <c r="N1425" i="11"/>
  <c r="N1413" i="11"/>
  <c r="N1409" i="11"/>
  <c r="N1397" i="11"/>
  <c r="N1389" i="11"/>
  <c r="N1385" i="11"/>
  <c r="T1369" i="11"/>
  <c r="Y1369" i="11" s="1"/>
  <c r="N1365" i="11"/>
  <c r="N1361" i="11"/>
  <c r="N1353" i="11"/>
  <c r="N1349" i="11"/>
  <c r="N1341" i="11"/>
  <c r="N1337" i="11"/>
  <c r="N1325" i="11"/>
  <c r="N1317" i="11"/>
  <c r="T1305" i="11"/>
  <c r="V1308" i="11" s="1"/>
  <c r="N1301" i="11"/>
  <c r="N1297" i="11"/>
  <c r="T1285" i="11"/>
  <c r="Y1285" i="11" s="1"/>
  <c r="N1281" i="11"/>
  <c r="N1277" i="11"/>
  <c r="N1261" i="11"/>
  <c r="N1257" i="11"/>
  <c r="N1245" i="11"/>
  <c r="N1241" i="11"/>
  <c r="N1237" i="11"/>
  <c r="N1233" i="11"/>
  <c r="N1229" i="11"/>
  <c r="N1225" i="11"/>
  <c r="N1213" i="11"/>
  <c r="N1209" i="11"/>
  <c r="N1205" i="11"/>
  <c r="N1201" i="11"/>
  <c r="N1197" i="11"/>
  <c r="N1193" i="11"/>
  <c r="N1181" i="11"/>
  <c r="N1177" i="11"/>
  <c r="N1173" i="11"/>
  <c r="N1169" i="11"/>
  <c r="N1165" i="11"/>
  <c r="N1161" i="11"/>
  <c r="N1157" i="11"/>
  <c r="N1153" i="11"/>
  <c r="N1145" i="11"/>
  <c r="N1141" i="11"/>
  <c r="N1041" i="11"/>
  <c r="N1033" i="11"/>
  <c r="N1013" i="11"/>
  <c r="N1001" i="11"/>
  <c r="N981" i="11"/>
  <c r="N977" i="11"/>
  <c r="N973" i="11"/>
  <c r="N969" i="11"/>
  <c r="N965" i="11"/>
  <c r="N961" i="11"/>
  <c r="N957" i="11"/>
  <c r="N953" i="11"/>
  <c r="N913" i="11"/>
  <c r="N909" i="11"/>
  <c r="N905" i="11"/>
  <c r="N901" i="11"/>
  <c r="N885" i="11"/>
  <c r="N881" i="11"/>
  <c r="N877" i="11"/>
  <c r="T811" i="11"/>
  <c r="W811" i="11" s="1"/>
  <c r="T944" i="11"/>
  <c r="X944" i="11" s="1"/>
  <c r="T1021" i="11"/>
  <c r="X1021" i="11" s="1"/>
  <c r="G1025" i="11"/>
  <c r="I1025" i="11" s="1"/>
  <c r="T1184" i="11"/>
  <c r="V1187" i="11" s="1"/>
  <c r="X1187" i="11" s="1"/>
  <c r="G1196" i="11"/>
  <c r="I1196" i="11" s="1"/>
  <c r="G1244" i="11"/>
  <c r="I1244" i="11" s="1"/>
  <c r="T1435" i="11"/>
  <c r="W1435" i="11" s="1"/>
  <c r="N873" i="11"/>
  <c r="N869" i="11"/>
  <c r="N865" i="11"/>
  <c r="N861" i="11"/>
  <c r="N857" i="11"/>
  <c r="T845" i="11"/>
  <c r="Y845" i="11" s="1"/>
  <c r="N645" i="11"/>
  <c r="N593" i="11"/>
  <c r="N517" i="11"/>
  <c r="N513" i="11"/>
  <c r="N509" i="11"/>
  <c r="N465" i="11"/>
  <c r="N461" i="11"/>
  <c r="N457" i="11"/>
  <c r="N445" i="11"/>
  <c r="N425" i="11"/>
  <c r="N421" i="11"/>
  <c r="N397" i="11"/>
  <c r="N385" i="11"/>
  <c r="N349" i="11"/>
  <c r="N345" i="11"/>
  <c r="N341" i="11"/>
  <c r="N333" i="11"/>
  <c r="N329" i="11"/>
  <c r="N321" i="11"/>
  <c r="N313" i="11"/>
  <c r="N305" i="11"/>
  <c r="N301" i="11"/>
  <c r="N297" i="11"/>
  <c r="N285" i="11"/>
  <c r="T281" i="11"/>
  <c r="X281" i="11" s="1"/>
  <c r="N277" i="11"/>
  <c r="N265" i="11"/>
  <c r="N257" i="11"/>
  <c r="N253" i="11"/>
  <c r="G1240" i="11"/>
  <c r="I1240" i="11" s="1"/>
  <c r="T1399" i="11"/>
  <c r="W1399" i="11" s="1"/>
  <c r="T545" i="11"/>
  <c r="T864" i="11"/>
  <c r="W864" i="11" s="1"/>
  <c r="Q1817" i="11"/>
  <c r="N1801" i="11"/>
  <c r="Q1801" i="11"/>
  <c r="N1793" i="11"/>
  <c r="Q1793" i="11"/>
  <c r="N1785" i="11"/>
  <c r="Q1785" i="11"/>
  <c r="Q1669" i="11"/>
  <c r="T1669" i="11" s="1"/>
  <c r="Q1585" i="11"/>
  <c r="T1585" i="11" s="1"/>
  <c r="V1588" i="11" s="1"/>
  <c r="Q1333" i="11"/>
  <c r="T1333" i="11" s="1"/>
  <c r="V1334" i="11" s="1"/>
  <c r="Q269" i="11"/>
  <c r="T269" i="11" s="1"/>
  <c r="Y269" i="11" s="1"/>
  <c r="N357" i="11"/>
  <c r="N361" i="11"/>
  <c r="N365" i="11"/>
  <c r="N369" i="11"/>
  <c r="N373" i="11"/>
  <c r="N377" i="11"/>
  <c r="N413" i="11"/>
  <c r="Q421" i="11"/>
  <c r="T421" i="11" s="1"/>
  <c r="T425" i="11"/>
  <c r="Y425" i="11" s="1"/>
  <c r="N429" i="11"/>
  <c r="T442" i="11"/>
  <c r="Y442" i="11" s="1"/>
  <c r="Q453" i="11"/>
  <c r="T471" i="11"/>
  <c r="X471" i="11" s="1"/>
  <c r="Q473" i="11"/>
  <c r="T473" i="11" s="1"/>
  <c r="Q553" i="11"/>
  <c r="T595" i="11"/>
  <c r="X595" i="11" s="1"/>
  <c r="Q605" i="11"/>
  <c r="Q661" i="11"/>
  <c r="T692" i="11"/>
  <c r="X692" i="11" s="1"/>
  <c r="Q789" i="11"/>
  <c r="T789" i="11" s="1"/>
  <c r="Q805" i="11"/>
  <c r="T805" i="11" s="1"/>
  <c r="W805" i="11" s="1"/>
  <c r="Q821" i="11"/>
  <c r="T821" i="11" s="1"/>
  <c r="X821" i="11" s="1"/>
  <c r="Q837" i="11"/>
  <c r="T837" i="11" s="1"/>
  <c r="Q853" i="11"/>
  <c r="T853" i="11" s="1"/>
  <c r="Q861" i="11"/>
  <c r="S861" i="11" s="1"/>
  <c r="Q869" i="11"/>
  <c r="T869" i="11" s="1"/>
  <c r="Q877" i="11"/>
  <c r="Q885" i="11"/>
  <c r="T885" i="11" s="1"/>
  <c r="Y885" i="11" s="1"/>
  <c r="Q897" i="11"/>
  <c r="T897" i="11" s="1"/>
  <c r="W897" i="11" s="1"/>
  <c r="Q953" i="11"/>
  <c r="Q965" i="11"/>
  <c r="Q973" i="11"/>
  <c r="S973" i="11" s="1"/>
  <c r="Q981" i="11"/>
  <c r="T981" i="11" s="1"/>
  <c r="Y981" i="11" s="1"/>
  <c r="Q1017" i="11"/>
  <c r="T1017" i="11" s="1"/>
  <c r="Q1393" i="11"/>
  <c r="T1393" i="11" s="1"/>
  <c r="W1393" i="11" s="1"/>
  <c r="Q1489" i="11"/>
  <c r="T1489" i="11" s="1"/>
  <c r="Y1489" i="11" s="1"/>
  <c r="Q1693" i="11"/>
  <c r="T1693" i="11" s="1"/>
  <c r="Q1816" i="11"/>
  <c r="T1816" i="11" s="1"/>
  <c r="Y1816" i="11" s="1"/>
  <c r="Q1128" i="11"/>
  <c r="T1128" i="11" s="1"/>
  <c r="V1130" i="11" s="1"/>
  <c r="Q1112" i="11"/>
  <c r="T1112" i="11" s="1"/>
  <c r="V1115" i="11" s="1"/>
  <c r="X1115" i="11" s="1"/>
  <c r="Q1096" i="11"/>
  <c r="T1096" i="11" s="1"/>
  <c r="V1099" i="11" s="1"/>
  <c r="Y1099" i="11" s="1"/>
  <c r="N424" i="11"/>
  <c r="Q480" i="11"/>
  <c r="Q489" i="11"/>
  <c r="T489" i="11" s="1"/>
  <c r="V492" i="11" s="1"/>
  <c r="Q540" i="11"/>
  <c r="T540" i="11" s="1"/>
  <c r="N561" i="11"/>
  <c r="N569" i="11"/>
  <c r="N577" i="11"/>
  <c r="N585" i="11"/>
  <c r="N621" i="11"/>
  <c r="N629" i="11"/>
  <c r="N637" i="11"/>
  <c r="Q645" i="11"/>
  <c r="S645" i="11" s="1"/>
  <c r="Q673" i="11"/>
  <c r="Q681" i="11"/>
  <c r="T681" i="11" s="1"/>
  <c r="Y681" i="11" s="1"/>
  <c r="Q689" i="11"/>
  <c r="T689" i="11" s="1"/>
  <c r="Y689" i="11" s="1"/>
  <c r="Q697" i="11"/>
  <c r="Q705" i="11"/>
  <c r="T705" i="11" s="1"/>
  <c r="X705" i="11" s="1"/>
  <c r="Q713" i="11"/>
  <c r="Q721" i="11"/>
  <c r="T721" i="11" s="1"/>
  <c r="Q729" i="11"/>
  <c r="T729" i="11" s="1"/>
  <c r="X729" i="11" s="1"/>
  <c r="Q737" i="11"/>
  <c r="T737" i="11" s="1"/>
  <c r="Q745" i="11"/>
  <c r="Q753" i="11"/>
  <c r="T753" i="11" s="1"/>
  <c r="Q761" i="11"/>
  <c r="T761" i="11" s="1"/>
  <c r="Y761" i="11" s="1"/>
  <c r="Q769" i="11"/>
  <c r="T769" i="11" s="1"/>
  <c r="Q780" i="11"/>
  <c r="T780" i="11" s="1"/>
  <c r="Q796" i="11"/>
  <c r="T796" i="11" s="1"/>
  <c r="Q812" i="11"/>
  <c r="T812" i="11" s="1"/>
  <c r="Q828" i="11"/>
  <c r="T828" i="11" s="1"/>
  <c r="Q844" i="11"/>
  <c r="T844" i="11" s="1"/>
  <c r="Q916" i="11"/>
  <c r="T916" i="11" s="1"/>
  <c r="Q941" i="11"/>
  <c r="T941" i="11" s="1"/>
  <c r="N956" i="11"/>
  <c r="Q1104" i="11"/>
  <c r="T1104" i="11" s="1"/>
  <c r="W1104" i="11" s="1"/>
  <c r="Q1136" i="11"/>
  <c r="T1136" i="11" s="1"/>
  <c r="V1139" i="11" s="1"/>
  <c r="Q1144" i="11"/>
  <c r="T1144" i="11" s="1"/>
  <c r="V1147" i="11" s="1"/>
  <c r="Q1152" i="11"/>
  <c r="T1152" i="11" s="1"/>
  <c r="V1154" i="11" s="1"/>
  <c r="Q1537" i="11"/>
  <c r="T1537" i="11" s="1"/>
  <c r="Q1780" i="11"/>
  <c r="S1780" i="11" s="1"/>
  <c r="Q1781" i="11"/>
  <c r="S1781" i="11" s="1"/>
  <c r="N1784" i="11"/>
  <c r="Q1788" i="11"/>
  <c r="T1788" i="11" s="1"/>
  <c r="Y1788" i="11" s="1"/>
  <c r="Q1789" i="11"/>
  <c r="N1792" i="11"/>
  <c r="Q1796" i="11"/>
  <c r="Q1797" i="11"/>
  <c r="S1797" i="11" s="1"/>
  <c r="N1800" i="11"/>
  <c r="Q1804" i="11"/>
  <c r="S1804" i="11" s="1"/>
  <c r="Q1805" i="11"/>
  <c r="S1805" i="11" s="1"/>
  <c r="N1808" i="11"/>
  <c r="Q1825" i="11"/>
  <c r="T1825" i="11" s="1"/>
  <c r="Q1833" i="11"/>
  <c r="S1833" i="11" s="1"/>
  <c r="Q1841" i="11"/>
  <c r="T1841" i="11" s="1"/>
  <c r="S1845" i="11"/>
  <c r="Q1849" i="11"/>
  <c r="T1849" i="11" s="1"/>
  <c r="Y1849" i="11" s="1"/>
  <c r="Q1811" i="11"/>
  <c r="T1811" i="11" s="1"/>
  <c r="Q1803" i="11"/>
  <c r="T1803" i="11" s="1"/>
  <c r="W1803" i="11" s="1"/>
  <c r="N1803" i="11"/>
  <c r="Q1795" i="11"/>
  <c r="T1795" i="11" s="1"/>
  <c r="N1795" i="11"/>
  <c r="Q1787" i="11"/>
  <c r="T1787" i="11" s="1"/>
  <c r="W1787" i="11" s="1"/>
  <c r="N1787" i="11"/>
  <c r="Q1779" i="11"/>
  <c r="S1779" i="11" s="1"/>
  <c r="N1779" i="11"/>
  <c r="Q1711" i="11"/>
  <c r="T1711" i="11" s="1"/>
  <c r="Q1699" i="11"/>
  <c r="T1699" i="11" s="1"/>
  <c r="Q1687" i="11"/>
  <c r="T1687" i="11" s="1"/>
  <c r="W1687" i="11" s="1"/>
  <c r="Q1639" i="11"/>
  <c r="T1639" i="11" s="1"/>
  <c r="W1639" i="11" s="1"/>
  <c r="Q1627" i="11"/>
  <c r="T1627" i="11" s="1"/>
  <c r="Q1615" i="11"/>
  <c r="T1615" i="11" s="1"/>
  <c r="Q1603" i="11"/>
  <c r="T1603" i="11" s="1"/>
  <c r="Q1591" i="11"/>
  <c r="T1591" i="11" s="1"/>
  <c r="Q1579" i="11"/>
  <c r="T1579" i="11" s="1"/>
  <c r="Y1579" i="11" s="1"/>
  <c r="Q1471" i="11"/>
  <c r="T1471" i="11" s="1"/>
  <c r="Q1387" i="11"/>
  <c r="T1387" i="11" s="1"/>
  <c r="N420" i="11"/>
  <c r="Q443" i="11"/>
  <c r="T443" i="11" s="1"/>
  <c r="Q476" i="11"/>
  <c r="T476" i="11" s="1"/>
  <c r="Q519" i="11"/>
  <c r="Q528" i="11"/>
  <c r="Q537" i="11"/>
  <c r="T539" i="11"/>
  <c r="Y539" i="11" s="1"/>
  <c r="N551" i="11"/>
  <c r="T680" i="11"/>
  <c r="X680" i="11" s="1"/>
  <c r="T704" i="11"/>
  <c r="X704" i="11" s="1"/>
  <c r="Q792" i="11"/>
  <c r="T792" i="11" s="1"/>
  <c r="Q808" i="11"/>
  <c r="T808" i="11" s="1"/>
  <c r="X808" i="11" s="1"/>
  <c r="Q824" i="11"/>
  <c r="T824" i="11" s="1"/>
  <c r="Y824" i="11" s="1"/>
  <c r="Q840" i="11"/>
  <c r="T840" i="11" s="1"/>
  <c r="X840" i="11" s="1"/>
  <c r="Q857" i="11"/>
  <c r="S857" i="11" s="1"/>
  <c r="N859" i="11"/>
  <c r="Q865" i="11"/>
  <c r="N867" i="11"/>
  <c r="Q873" i="11"/>
  <c r="T873" i="11" s="1"/>
  <c r="N875" i="11"/>
  <c r="Q881" i="11"/>
  <c r="N883" i="11"/>
  <c r="T921" i="11"/>
  <c r="Q923" i="11"/>
  <c r="T923" i="11" s="1"/>
  <c r="X923" i="11" s="1"/>
  <c r="Q931" i="11"/>
  <c r="T931" i="11" s="1"/>
  <c r="X931" i="11" s="1"/>
  <c r="N952" i="11"/>
  <c r="Q961" i="11"/>
  <c r="T961" i="11" s="1"/>
  <c r="W961" i="11" s="1"/>
  <c r="N963" i="11"/>
  <c r="T967" i="11"/>
  <c r="W967" i="11" s="1"/>
  <c r="Q969" i="11"/>
  <c r="S969" i="11" s="1"/>
  <c r="N971" i="11"/>
  <c r="T975" i="11"/>
  <c r="X975" i="11" s="1"/>
  <c r="Q977" i="11"/>
  <c r="S977" i="11" s="1"/>
  <c r="N979" i="11"/>
  <c r="Q987" i="11"/>
  <c r="T987" i="11" s="1"/>
  <c r="W987" i="11" s="1"/>
  <c r="Q995" i="11"/>
  <c r="T995" i="11" s="1"/>
  <c r="Q1020" i="11"/>
  <c r="T1020" i="11" s="1"/>
  <c r="X1020" i="11" s="1"/>
  <c r="Q1327" i="11"/>
  <c r="T1327" i="11" s="1"/>
  <c r="Q1459" i="11"/>
  <c r="T1459" i="11" s="1"/>
  <c r="X1459" i="11" s="1"/>
  <c r="Q1717" i="11"/>
  <c r="T1717" i="11" s="1"/>
  <c r="W1717" i="11" s="1"/>
  <c r="Q1741" i="11"/>
  <c r="T1741" i="11" s="1"/>
  <c r="S419" i="11"/>
  <c r="T419" i="11"/>
  <c r="X419" i="11" s="1"/>
  <c r="T440" i="11"/>
  <c r="X440" i="11" s="1"/>
  <c r="T493" i="11"/>
  <c r="S646" i="11"/>
  <c r="T646" i="11"/>
  <c r="X646" i="11" s="1"/>
  <c r="T742" i="11"/>
  <c r="X742" i="11" s="1"/>
  <c r="T758" i="11"/>
  <c r="T777" i="11"/>
  <c r="Y777" i="11" s="1"/>
  <c r="T833" i="11"/>
  <c r="T946" i="11"/>
  <c r="Y946" i="11" s="1"/>
  <c r="T951" i="11"/>
  <c r="X951" i="11" s="1"/>
  <c r="T988" i="11"/>
  <c r="X988" i="11" s="1"/>
  <c r="T992" i="11"/>
  <c r="W992" i="11" s="1"/>
  <c r="T1477" i="11"/>
  <c r="V1478" i="11" s="1"/>
  <c r="T1792" i="11"/>
  <c r="Y1792" i="11" s="1"/>
  <c r="T1216" i="11"/>
  <c r="X1216" i="11" s="1"/>
  <c r="T1240" i="11"/>
  <c r="X1240" i="11" s="1"/>
  <c r="T1248" i="11"/>
  <c r="W1248" i="11" s="1"/>
  <c r="T1256" i="11"/>
  <c r="Y1256" i="11" s="1"/>
  <c r="T1782" i="11"/>
  <c r="T1786" i="11"/>
  <c r="X1786" i="11" s="1"/>
  <c r="T1798" i="11"/>
  <c r="X1798" i="11" s="1"/>
  <c r="Q243" i="11"/>
  <c r="T241" i="11"/>
  <c r="X241" i="11" s="1"/>
  <c r="Q229" i="11"/>
  <c r="O221" i="11"/>
  <c r="T299" i="11"/>
  <c r="Y299" i="11" s="1"/>
  <c r="S364" i="11"/>
  <c r="T364" i="11"/>
  <c r="S368" i="11"/>
  <c r="T368" i="11"/>
  <c r="S372" i="11"/>
  <c r="T372" i="11"/>
  <c r="S376" i="11"/>
  <c r="T376" i="11"/>
  <c r="T403" i="11"/>
  <c r="Y403" i="11" s="1"/>
  <c r="T404" i="11"/>
  <c r="V407" i="11" s="1"/>
  <c r="S109" i="11"/>
  <c r="T220" i="11"/>
  <c r="Y220" i="11" s="1"/>
  <c r="T290" i="11"/>
  <c r="V292" i="11" s="1"/>
  <c r="G293" i="11"/>
  <c r="T128" i="11"/>
  <c r="G131" i="11"/>
  <c r="I131" i="11" s="1"/>
  <c r="G143" i="11"/>
  <c r="I143" i="11" s="1"/>
  <c r="S196" i="11"/>
  <c r="T708" i="11"/>
  <c r="X708" i="11" s="1"/>
  <c r="T771" i="11"/>
  <c r="Y771" i="11" s="1"/>
  <c r="T830" i="11"/>
  <c r="Y830" i="11" s="1"/>
  <c r="T927" i="11"/>
  <c r="X927" i="11" s="1"/>
  <c r="T1180" i="11"/>
  <c r="W1180" i="11" s="1"/>
  <c r="T1196" i="11"/>
  <c r="V1198" i="11" s="1"/>
  <c r="S1834" i="11"/>
  <c r="T56" i="11"/>
  <c r="X56" i="11" s="1"/>
  <c r="T117" i="11"/>
  <c r="Y117" i="11" s="1"/>
  <c r="S197" i="11"/>
  <c r="T197" i="11"/>
  <c r="X197" i="11" s="1"/>
  <c r="S205" i="11"/>
  <c r="T205" i="11"/>
  <c r="S211" i="11"/>
  <c r="T211" i="11"/>
  <c r="Y211" i="11" s="1"/>
  <c r="G272" i="11"/>
  <c r="T278" i="11"/>
  <c r="Y278" i="11" s="1"/>
  <c r="G281" i="11"/>
  <c r="T389" i="11"/>
  <c r="V391" i="11" s="1"/>
  <c r="X391" i="11" s="1"/>
  <c r="T417" i="11"/>
  <c r="S587" i="11"/>
  <c r="T587" i="11"/>
  <c r="X587" i="11" s="1"/>
  <c r="G595" i="11"/>
  <c r="I595" i="11" s="1"/>
  <c r="S644" i="11"/>
  <c r="T644" i="11"/>
  <c r="Y644" i="11" s="1"/>
  <c r="T656" i="11"/>
  <c r="X656" i="11" s="1"/>
  <c r="G1160" i="11"/>
  <c r="I1160" i="11" s="1"/>
  <c r="G1172" i="11"/>
  <c r="I1172" i="11" s="1"/>
  <c r="G1176" i="11"/>
  <c r="I1176" i="11" s="1"/>
  <c r="T1290" i="11"/>
  <c r="X1290" i="11" s="1"/>
  <c r="T1300" i="11"/>
  <c r="V1301" i="11" s="1"/>
  <c r="T22" i="11"/>
  <c r="Y22" i="11" s="1"/>
  <c r="S46" i="11"/>
  <c r="T46" i="11"/>
  <c r="W46" i="11" s="1"/>
  <c r="T75" i="11"/>
  <c r="Y75" i="11" s="1"/>
  <c r="T96" i="11"/>
  <c r="T100" i="11"/>
  <c r="Y100" i="11" s="1"/>
  <c r="T115" i="11"/>
  <c r="T116" i="11"/>
  <c r="Y116" i="11" s="1"/>
  <c r="T127" i="11"/>
  <c r="T149" i="11"/>
  <c r="S206" i="11"/>
  <c r="S209" i="11"/>
  <c r="T218" i="11"/>
  <c r="Y218" i="11" s="1"/>
  <c r="T219" i="11"/>
  <c r="T223" i="11"/>
  <c r="X223" i="11" s="1"/>
  <c r="G287" i="11"/>
  <c r="T293" i="11"/>
  <c r="V295" i="11" s="1"/>
  <c r="G389" i="11"/>
  <c r="I389" i="11" s="1"/>
  <c r="T393" i="11"/>
  <c r="X393" i="11" s="1"/>
  <c r="T399" i="11"/>
  <c r="T466" i="11"/>
  <c r="V469" i="11" s="1"/>
  <c r="G466" i="11"/>
  <c r="I466" i="11" s="1"/>
  <c r="T482" i="11"/>
  <c r="X482" i="11" s="1"/>
  <c r="T497" i="11"/>
  <c r="T543" i="11"/>
  <c r="T739" i="11"/>
  <c r="W739" i="11" s="1"/>
  <c r="T747" i="11"/>
  <c r="W747" i="11" s="1"/>
  <c r="T813" i="11"/>
  <c r="W813" i="11" s="1"/>
  <c r="T829" i="11"/>
  <c r="Y829" i="11" s="1"/>
  <c r="S884" i="11"/>
  <c r="T922" i="11"/>
  <c r="Y922" i="11" s="1"/>
  <c r="T930" i="11"/>
  <c r="X930" i="11" s="1"/>
  <c r="T996" i="11"/>
  <c r="X996" i="11" s="1"/>
  <c r="T1002" i="11"/>
  <c r="T1018" i="11"/>
  <c r="Y1018" i="11" s="1"/>
  <c r="T1022" i="11"/>
  <c r="V1024" i="11" s="1"/>
  <c r="X1024" i="11" s="1"/>
  <c r="T1345" i="11"/>
  <c r="V1349" i="11" s="1"/>
  <c r="T1483" i="11"/>
  <c r="T1525" i="11"/>
  <c r="X1525" i="11" s="1"/>
  <c r="S1783" i="11"/>
  <c r="T1783" i="11"/>
  <c r="W1783" i="11" s="1"/>
  <c r="T1800" i="11"/>
  <c r="W1800" i="11" s="1"/>
  <c r="T1808" i="11"/>
  <c r="X1808" i="11" s="1"/>
  <c r="T1813" i="11"/>
  <c r="X1813" i="11" s="1"/>
  <c r="T439" i="11"/>
  <c r="X439" i="11" s="1"/>
  <c r="T552" i="11"/>
  <c r="X552" i="11" s="1"/>
  <c r="T562" i="11"/>
  <c r="Y562" i="11" s="1"/>
  <c r="S565" i="11"/>
  <c r="T565" i="11"/>
  <c r="Y565" i="11" s="1"/>
  <c r="S569" i="11"/>
  <c r="T569" i="11"/>
  <c r="Y569" i="11" s="1"/>
  <c r="S573" i="11"/>
  <c r="T573" i="11"/>
  <c r="X573" i="11" s="1"/>
  <c r="T578" i="11"/>
  <c r="X578" i="11" s="1"/>
  <c r="S581" i="11"/>
  <c r="T581" i="11"/>
  <c r="X581" i="11" s="1"/>
  <c r="S585" i="11"/>
  <c r="T585" i="11"/>
  <c r="Y585" i="11" s="1"/>
  <c r="S589" i="11"/>
  <c r="T589" i="11"/>
  <c r="X589" i="11" s="1"/>
  <c r="T624" i="11"/>
  <c r="S628" i="11"/>
  <c r="T628" i="11"/>
  <c r="Y628" i="11" s="1"/>
  <c r="S639" i="11"/>
  <c r="T669" i="11"/>
  <c r="Y669" i="11" s="1"/>
  <c r="T688" i="11"/>
  <c r="X688" i="11" s="1"/>
  <c r="T725" i="11"/>
  <c r="T726" i="11"/>
  <c r="Y726" i="11" s="1"/>
  <c r="T750" i="11"/>
  <c r="X750" i="11" s="1"/>
  <c r="T800" i="11"/>
  <c r="X800" i="11" s="1"/>
  <c r="T832" i="11"/>
  <c r="Y832" i="11" s="1"/>
  <c r="T892" i="11"/>
  <c r="X892" i="11" s="1"/>
  <c r="T937" i="11"/>
  <c r="X937" i="11" s="1"/>
  <c r="T938" i="11"/>
  <c r="Y938" i="11" s="1"/>
  <c r="T942" i="11"/>
  <c r="X942" i="11" s="1"/>
  <c r="T983" i="11"/>
  <c r="T1016" i="11"/>
  <c r="W1016" i="11" s="1"/>
  <c r="G1064" i="11"/>
  <c r="I1064" i="11" s="1"/>
  <c r="G1140" i="11"/>
  <c r="I1140" i="11" s="1"/>
  <c r="G1148" i="11"/>
  <c r="I1148" i="11" s="1"/>
  <c r="G1156" i="11"/>
  <c r="I1156" i="11" s="1"/>
  <c r="G1220" i="11"/>
  <c r="I1220" i="11" s="1"/>
  <c r="T1232" i="11"/>
  <c r="X1232" i="11" s="1"/>
  <c r="G1295" i="11"/>
  <c r="I1295" i="11" s="1"/>
  <c r="T1405" i="11"/>
  <c r="V1409" i="11" s="1"/>
  <c r="Y1409" i="11" s="1"/>
  <c r="T1441" i="11"/>
  <c r="X1441" i="11" s="1"/>
  <c r="T1495" i="11"/>
  <c r="Y1495" i="11" s="1"/>
  <c r="S1791" i="11"/>
  <c r="T1791" i="11"/>
  <c r="T1794" i="11"/>
  <c r="Y1794" i="11" s="1"/>
  <c r="T1853" i="11"/>
  <c r="Y1853" i="11" s="1"/>
  <c r="T381" i="11"/>
  <c r="X381" i="11" s="1"/>
  <c r="S622" i="11"/>
  <c r="T622" i="11"/>
  <c r="X622" i="11" s="1"/>
  <c r="S636" i="11"/>
  <c r="S104" i="11"/>
  <c r="T104" i="11"/>
  <c r="T27" i="11"/>
  <c r="T91" i="11"/>
  <c r="T130" i="11"/>
  <c r="G179" i="11"/>
  <c r="I179" i="11" s="1"/>
  <c r="T183" i="11"/>
  <c r="Y183" i="11" s="1"/>
  <c r="T186" i="11"/>
  <c r="Y186" i="11" s="1"/>
  <c r="T192" i="11"/>
  <c r="Y192" i="11" s="1"/>
  <c r="T353" i="11"/>
  <c r="S358" i="11"/>
  <c r="T358" i="11"/>
  <c r="Y358" i="11" s="1"/>
  <c r="S362" i="11"/>
  <c r="T362" i="11"/>
  <c r="W362" i="11" s="1"/>
  <c r="T394" i="11"/>
  <c r="T413" i="11"/>
  <c r="W413" i="11" s="1"/>
  <c r="S413" i="11"/>
  <c r="T577" i="11"/>
  <c r="W577" i="11" s="1"/>
  <c r="T591" i="11"/>
  <c r="G591" i="11"/>
  <c r="I591" i="11" s="1"/>
  <c r="T602" i="11"/>
  <c r="W602" i="11" s="1"/>
  <c r="T610" i="11"/>
  <c r="T620" i="11"/>
  <c r="X620" i="11" s="1"/>
  <c r="S620" i="11"/>
  <c r="T752" i="11"/>
  <c r="X752" i="11" s="1"/>
  <c r="T763" i="11"/>
  <c r="W763" i="11" s="1"/>
  <c r="S860" i="11"/>
  <c r="T891" i="11"/>
  <c r="G1072" i="11"/>
  <c r="I1072" i="11" s="1"/>
  <c r="T1080" i="11"/>
  <c r="V1081" i="11" s="1"/>
  <c r="G1092" i="11"/>
  <c r="I1092" i="11" s="1"/>
  <c r="T1116" i="11"/>
  <c r="V1119" i="11" s="1"/>
  <c r="T1168" i="11"/>
  <c r="T1771" i="11"/>
  <c r="X1771" i="11" s="1"/>
  <c r="S427" i="11"/>
  <c r="T427" i="11"/>
  <c r="X427" i="11" s="1"/>
  <c r="S955" i="11"/>
  <c r="T955" i="11"/>
  <c r="X955" i="11" s="1"/>
  <c r="S626" i="11"/>
  <c r="T626" i="11"/>
  <c r="X626" i="11" s="1"/>
  <c r="T636" i="11"/>
  <c r="T838" i="11"/>
  <c r="T35" i="11"/>
  <c r="S47" i="11"/>
  <c r="T74" i="11"/>
  <c r="W74" i="11" s="1"/>
  <c r="T77" i="11"/>
  <c r="X77" i="11" s="1"/>
  <c r="S90" i="11"/>
  <c r="T102" i="11"/>
  <c r="W102" i="11" s="1"/>
  <c r="T118" i="11"/>
  <c r="T134" i="11"/>
  <c r="W134" i="11" s="1"/>
  <c r="T143" i="11"/>
  <c r="Y143" i="11" s="1"/>
  <c r="G146" i="11"/>
  <c r="I146" i="11" s="1"/>
  <c r="G186" i="11"/>
  <c r="I186" i="11" s="1"/>
  <c r="S198" i="11"/>
  <c r="S212" i="11"/>
  <c r="T222" i="11"/>
  <c r="W222" i="11" s="1"/>
  <c r="T228" i="11"/>
  <c r="Y228" i="11" s="1"/>
  <c r="T237" i="11"/>
  <c r="T249" i="11"/>
  <c r="W249" i="11" s="1"/>
  <c r="T254" i="11"/>
  <c r="W254" i="11" s="1"/>
  <c r="S411" i="11"/>
  <c r="T411" i="11"/>
  <c r="X411" i="11" s="1"/>
  <c r="S417" i="11"/>
  <c r="S584" i="11"/>
  <c r="T613" i="11"/>
  <c r="X613" i="11" s="1"/>
  <c r="S618" i="11"/>
  <c r="T618" i="11"/>
  <c r="Y618" i="11" s="1"/>
  <c r="T639" i="11"/>
  <c r="W639" i="11" s="1"/>
  <c r="T658" i="11"/>
  <c r="Y658" i="11" s="1"/>
  <c r="T766" i="11"/>
  <c r="T871" i="11"/>
  <c r="X871" i="11" s="1"/>
  <c r="T924" i="11"/>
  <c r="T947" i="11"/>
  <c r="G1022" i="11"/>
  <c r="I1022" i="11" s="1"/>
  <c r="T1120" i="11"/>
  <c r="V1121" i="11" s="1"/>
  <c r="W1121" i="11" s="1"/>
  <c r="G1128" i="11"/>
  <c r="I1128" i="11" s="1"/>
  <c r="T1729" i="11"/>
  <c r="V1734" i="11" s="1"/>
  <c r="T1814" i="11"/>
  <c r="Y1814" i="11" s="1"/>
  <c r="T1845" i="11"/>
  <c r="X1845" i="11" s="1"/>
  <c r="T1848" i="11"/>
  <c r="S1842" i="11"/>
  <c r="T1843" i="11"/>
  <c r="Y1843" i="11" s="1"/>
  <c r="S1843" i="11"/>
  <c r="T25" i="11"/>
  <c r="T30" i="11"/>
  <c r="Y30" i="11" s="1"/>
  <c r="T34" i="11"/>
  <c r="Y34" i="11" s="1"/>
  <c r="T37" i="11"/>
  <c r="S55" i="11"/>
  <c r="T79" i="11"/>
  <c r="T82" i="11"/>
  <c r="W82" i="11" s="1"/>
  <c r="T99" i="11"/>
  <c r="X99" i="11" s="1"/>
  <c r="T111" i="11"/>
  <c r="T119" i="11"/>
  <c r="T120" i="11"/>
  <c r="Y120" i="11" s="1"/>
  <c r="T122" i="11"/>
  <c r="T125" i="11"/>
  <c r="Y125" i="11" s="1"/>
  <c r="G149" i="11"/>
  <c r="I149" i="11" s="1"/>
  <c r="G161" i="11"/>
  <c r="I161" i="11" s="1"/>
  <c r="T165" i="11"/>
  <c r="V167" i="11" s="1"/>
  <c r="T189" i="11"/>
  <c r="W189" i="11" s="1"/>
  <c r="T200" i="11"/>
  <c r="W200" i="11" s="1"/>
  <c r="S201" i="11"/>
  <c r="T233" i="11"/>
  <c r="X233" i="11" s="1"/>
  <c r="T317" i="11"/>
  <c r="V318" i="11" s="1"/>
  <c r="G322" i="11"/>
  <c r="S366" i="11"/>
  <c r="T366" i="11"/>
  <c r="Y366" i="11" s="1"/>
  <c r="S370" i="11"/>
  <c r="T370" i="11"/>
  <c r="T436" i="11"/>
  <c r="W436" i="11" s="1"/>
  <c r="T472" i="11"/>
  <c r="Y472" i="11" s="1"/>
  <c r="T486" i="11"/>
  <c r="V488" i="11" s="1"/>
  <c r="T502" i="11"/>
  <c r="V506" i="11" s="1"/>
  <c r="T522" i="11"/>
  <c r="Y522" i="11" s="1"/>
  <c r="T529" i="11"/>
  <c r="X529" i="11" s="1"/>
  <c r="T554" i="11"/>
  <c r="S559" i="11"/>
  <c r="T559" i="11"/>
  <c r="W559" i="11" s="1"/>
  <c r="T663" i="11"/>
  <c r="X663" i="11" s="1"/>
  <c r="T664" i="11"/>
  <c r="X664" i="11" s="1"/>
  <c r="T671" i="11"/>
  <c r="Y671" i="11" s="1"/>
  <c r="T684" i="11"/>
  <c r="X684" i="11" s="1"/>
  <c r="T685" i="11"/>
  <c r="X685" i="11" s="1"/>
  <c r="T696" i="11"/>
  <c r="T710" i="11"/>
  <c r="W710" i="11" s="1"/>
  <c r="T723" i="11"/>
  <c r="X723" i="11" s="1"/>
  <c r="T765" i="11"/>
  <c r="X765" i="11" s="1"/>
  <c r="T776" i="11"/>
  <c r="Y776" i="11" s="1"/>
  <c r="T779" i="11"/>
  <c r="Y779" i="11" s="1"/>
  <c r="T785" i="11"/>
  <c r="W785" i="11" s="1"/>
  <c r="T806" i="11"/>
  <c r="X806" i="11" s="1"/>
  <c r="S876" i="11"/>
  <c r="T880" i="11"/>
  <c r="S883" i="11"/>
  <c r="T883" i="11"/>
  <c r="Y883" i="11" s="1"/>
  <c r="T896" i="11"/>
  <c r="T899" i="11"/>
  <c r="S963" i="11"/>
  <c r="T963" i="11"/>
  <c r="X963" i="11" s="1"/>
  <c r="S979" i="11"/>
  <c r="T979" i="11"/>
  <c r="X979" i="11" s="1"/>
  <c r="G1184" i="11"/>
  <c r="I1184" i="11" s="1"/>
  <c r="G1204" i="11"/>
  <c r="I1204" i="11" s="1"/>
  <c r="G1224" i="11"/>
  <c r="I1224" i="11" s="1"/>
  <c r="T1228" i="11"/>
  <c r="Y1228" i="11" s="1"/>
  <c r="G1228" i="11"/>
  <c r="I1228" i="11" s="1"/>
  <c r="G1252" i="11"/>
  <c r="I1252" i="11" s="1"/>
  <c r="G1265" i="11"/>
  <c r="I1265" i="11" s="1"/>
  <c r="G1270" i="11"/>
  <c r="I1270" i="11" s="1"/>
  <c r="G1275" i="11"/>
  <c r="I1275" i="11" s="1"/>
  <c r="G1285" i="11"/>
  <c r="I1285" i="11" s="1"/>
  <c r="T1321" i="11"/>
  <c r="V1323" i="11" s="1"/>
  <c r="T1411" i="11"/>
  <c r="X1411" i="11" s="1"/>
  <c r="S203" i="11"/>
  <c r="T203" i="11"/>
  <c r="S204" i="11"/>
  <c r="S213" i="11"/>
  <c r="T213" i="11"/>
  <c r="S214" i="11"/>
  <c r="T238" i="11"/>
  <c r="X238" i="11" s="1"/>
  <c r="T245" i="11"/>
  <c r="G249" i="11"/>
  <c r="S356" i="11"/>
  <c r="T356" i="11"/>
  <c r="S360" i="11"/>
  <c r="T360" i="11"/>
  <c r="W360" i="11" s="1"/>
  <c r="S374" i="11"/>
  <c r="T374" i="11"/>
  <c r="S378" i="11"/>
  <c r="T378" i="11"/>
  <c r="G394" i="11"/>
  <c r="I394" i="11" s="1"/>
  <c r="S429" i="11"/>
  <c r="T429" i="11"/>
  <c r="X429" i="11" s="1"/>
  <c r="G454" i="11"/>
  <c r="I454" i="11" s="1"/>
  <c r="T458" i="11"/>
  <c r="V461" i="11" s="1"/>
  <c r="T474" i="11"/>
  <c r="X474" i="11" s="1"/>
  <c r="T485" i="11"/>
  <c r="T520" i="11"/>
  <c r="X520" i="11" s="1"/>
  <c r="T521" i="11"/>
  <c r="T547" i="11"/>
  <c r="T549" i="11"/>
  <c r="Y549" i="11" s="1"/>
  <c r="T555" i="11"/>
  <c r="T561" i="11"/>
  <c r="S568" i="11"/>
  <c r="S571" i="11"/>
  <c r="T571" i="11"/>
  <c r="S576" i="11"/>
  <c r="T600" i="11"/>
  <c r="Y600" i="11" s="1"/>
  <c r="T614" i="11"/>
  <c r="T630" i="11"/>
  <c r="W630" i="11" s="1"/>
  <c r="T635" i="11"/>
  <c r="S648" i="11"/>
  <c r="T648" i="11"/>
  <c r="X648" i="11" s="1"/>
  <c r="T650" i="11"/>
  <c r="T651" i="11"/>
  <c r="X651" i="11" s="1"/>
  <c r="T666" i="11"/>
  <c r="Y666" i="11" s="1"/>
  <c r="T700" i="11"/>
  <c r="T701" i="11"/>
  <c r="W701" i="11" s="1"/>
  <c r="T712" i="11"/>
  <c r="X712" i="11" s="1"/>
  <c r="T728" i="11"/>
  <c r="X728" i="11" s="1"/>
  <c r="T733" i="11"/>
  <c r="X733" i="11" s="1"/>
  <c r="T741" i="11"/>
  <c r="Y741" i="11" s="1"/>
  <c r="T744" i="11"/>
  <c r="Y744" i="11" s="1"/>
  <c r="T757" i="11"/>
  <c r="X757" i="11" s="1"/>
  <c r="T773" i="11"/>
  <c r="Y773" i="11" s="1"/>
  <c r="T781" i="11"/>
  <c r="T784" i="11"/>
  <c r="Y784" i="11" s="1"/>
  <c r="T787" i="11"/>
  <c r="Y787" i="11" s="1"/>
  <c r="T790" i="11"/>
  <c r="T795" i="11"/>
  <c r="Y795" i="11" s="1"/>
  <c r="T798" i="11"/>
  <c r="T819" i="11"/>
  <c r="Y819" i="11" s="1"/>
  <c r="T822" i="11"/>
  <c r="W822" i="11" s="1"/>
  <c r="T825" i="11"/>
  <c r="W825" i="11" s="1"/>
  <c r="T843" i="11"/>
  <c r="X843" i="11" s="1"/>
  <c r="T851" i="11"/>
  <c r="X851" i="11" s="1"/>
  <c r="S859" i="11"/>
  <c r="T859" i="11"/>
  <c r="T862" i="11"/>
  <c r="Y862" i="11" s="1"/>
  <c r="S863" i="11"/>
  <c r="T872" i="11"/>
  <c r="X872" i="11" s="1"/>
  <c r="T888" i="11"/>
  <c r="W888" i="11" s="1"/>
  <c r="T904" i="11"/>
  <c r="G933" i="11"/>
  <c r="I933" i="11" s="1"/>
  <c r="T939" i="11"/>
  <c r="X939" i="11" s="1"/>
  <c r="S951" i="11"/>
  <c r="S957" i="11"/>
  <c r="S971" i="11"/>
  <c r="T971" i="11"/>
  <c r="X971" i="11" s="1"/>
  <c r="T1028" i="11"/>
  <c r="G1056" i="11"/>
  <c r="I1056" i="11" s="1"/>
  <c r="T1076" i="11"/>
  <c r="V1079" i="11" s="1"/>
  <c r="T1124" i="11"/>
  <c r="V1125" i="11" s="1"/>
  <c r="G1132" i="11"/>
  <c r="I1132" i="11" s="1"/>
  <c r="T1140" i="11"/>
  <c r="X1140" i="11" s="1"/>
  <c r="G1164" i="11"/>
  <c r="I1164" i="11" s="1"/>
  <c r="T1417" i="11"/>
  <c r="V1419" i="11" s="1"/>
  <c r="T1543" i="11"/>
  <c r="V1547" i="11" s="1"/>
  <c r="T1810" i="11"/>
  <c r="Y1810" i="11" s="1"/>
  <c r="T1830" i="11"/>
  <c r="Y1830" i="11" s="1"/>
  <c r="S1830" i="11"/>
  <c r="S959" i="11"/>
  <c r="S967" i="11"/>
  <c r="S975" i="11"/>
  <c r="T991" i="11"/>
  <c r="X991" i="11" s="1"/>
  <c r="G999" i="11"/>
  <c r="I999" i="11" s="1"/>
  <c r="G1012" i="11"/>
  <c r="I1012" i="11" s="1"/>
  <c r="T1019" i="11"/>
  <c r="Y1019" i="11" s="1"/>
  <c r="G1028" i="11"/>
  <c r="I1028" i="11" s="1"/>
  <c r="T1031" i="11"/>
  <c r="W1031" i="11" s="1"/>
  <c r="T1056" i="11"/>
  <c r="V1057" i="11" s="1"/>
  <c r="W1057" i="11" s="1"/>
  <c r="T1072" i="11"/>
  <c r="Y1072" i="11" s="1"/>
  <c r="G1076" i="11"/>
  <c r="I1076" i="11" s="1"/>
  <c r="T1084" i="11"/>
  <c r="X1084" i="11" s="1"/>
  <c r="G1096" i="11"/>
  <c r="I1096" i="11" s="1"/>
  <c r="T1108" i="11"/>
  <c r="X1108" i="11" s="1"/>
  <c r="T1148" i="11"/>
  <c r="V1150" i="11" s="1"/>
  <c r="G1152" i="11"/>
  <c r="I1152" i="11" s="1"/>
  <c r="T1164" i="11"/>
  <c r="V1167" i="11" s="1"/>
  <c r="G1168" i="11"/>
  <c r="I1168" i="11" s="1"/>
  <c r="G1180" i="11"/>
  <c r="I1180" i="11" s="1"/>
  <c r="G1212" i="11"/>
  <c r="I1212" i="11" s="1"/>
  <c r="G1236" i="11"/>
  <c r="I1236" i="11" s="1"/>
  <c r="T1270" i="11"/>
  <c r="X1270" i="11" s="1"/>
  <c r="T1280" i="11"/>
  <c r="V1281" i="11" s="1"/>
  <c r="T1295" i="11"/>
  <c r="W1295" i="11" s="1"/>
  <c r="T1363" i="11"/>
  <c r="X1363" i="11" s="1"/>
  <c r="T1447" i="11"/>
  <c r="V1452" i="11" s="1"/>
  <c r="T1519" i="11"/>
  <c r="T1567" i="11"/>
  <c r="Y1567" i="11" s="1"/>
  <c r="T1597" i="11"/>
  <c r="X1597" i="11" s="1"/>
  <c r="T1645" i="11"/>
  <c r="Y1645" i="11" s="1"/>
  <c r="T1651" i="11"/>
  <c r="V1655" i="11" s="1"/>
  <c r="T1675" i="11"/>
  <c r="V1677" i="11" s="1"/>
  <c r="T1784" i="11"/>
  <c r="W1784" i="11" s="1"/>
  <c r="T1790" i="11"/>
  <c r="X1790" i="11" s="1"/>
  <c r="T1812" i="11"/>
  <c r="Y1812" i="11" s="1"/>
  <c r="T1837" i="11"/>
  <c r="S1850" i="11"/>
  <c r="T1851" i="11"/>
  <c r="X1851" i="11" s="1"/>
  <c r="X1004" i="11"/>
  <c r="Y1004" i="11"/>
  <c r="T108" i="11"/>
  <c r="X108" i="11" s="1"/>
  <c r="S108" i="11"/>
  <c r="S355" i="11"/>
  <c r="T355" i="11"/>
  <c r="Y355" i="11" s="1"/>
  <c r="S371" i="11"/>
  <c r="T371" i="11"/>
  <c r="X371" i="11" s="1"/>
  <c r="T408" i="11"/>
  <c r="W408" i="11" s="1"/>
  <c r="S433" i="11"/>
  <c r="T433" i="11"/>
  <c r="W433" i="11" s="1"/>
  <c r="T538" i="11"/>
  <c r="T627" i="11"/>
  <c r="S627" i="11"/>
  <c r="S632" i="11"/>
  <c r="T632" i="11"/>
  <c r="W632" i="11" s="1"/>
  <c r="T1827" i="11"/>
  <c r="Y1827" i="11" s="1"/>
  <c r="S1827" i="11"/>
  <c r="T38" i="11"/>
  <c r="X38" i="11" s="1"/>
  <c r="S65" i="11"/>
  <c r="T65" i="11"/>
  <c r="Y65" i="11" s="1"/>
  <c r="S105" i="11"/>
  <c r="S194" i="11"/>
  <c r="T194" i="11"/>
  <c r="S369" i="11"/>
  <c r="T369" i="11"/>
  <c r="T382" i="11"/>
  <c r="W382" i="11" s="1"/>
  <c r="T479" i="11"/>
  <c r="Y479" i="11" s="1"/>
  <c r="T535" i="11"/>
  <c r="Y535" i="11" s="1"/>
  <c r="S563" i="11"/>
  <c r="T563" i="11"/>
  <c r="W563" i="11" s="1"/>
  <c r="S579" i="11"/>
  <c r="T579" i="11"/>
  <c r="X579" i="11" s="1"/>
  <c r="S874" i="11"/>
  <c r="T874" i="11"/>
  <c r="T933" i="11"/>
  <c r="Y933" i="11" s="1"/>
  <c r="T1839" i="11"/>
  <c r="Y1839" i="11" s="1"/>
  <c r="S1839" i="11"/>
  <c r="T23" i="11"/>
  <c r="X23" i="11" s="1"/>
  <c r="T26" i="11"/>
  <c r="X26" i="11" s="1"/>
  <c r="S57" i="11"/>
  <c r="T57" i="11"/>
  <c r="Y57" i="11" s="1"/>
  <c r="S62" i="11"/>
  <c r="T62" i="11"/>
  <c r="T70" i="11"/>
  <c r="X70" i="11" s="1"/>
  <c r="T73" i="11"/>
  <c r="T88" i="11"/>
  <c r="X88" i="11" s="1"/>
  <c r="T92" i="11"/>
  <c r="S92" i="11"/>
  <c r="T153" i="11"/>
  <c r="W153" i="11" s="1"/>
  <c r="G165" i="11"/>
  <c r="I165" i="11" s="1"/>
  <c r="S202" i="11"/>
  <c r="T202" i="11"/>
  <c r="X202" i="11" s="1"/>
  <c r="T226" i="11"/>
  <c r="T244" i="11"/>
  <c r="X244" i="11" s="1"/>
  <c r="G259" i="11"/>
  <c r="G269" i="11"/>
  <c r="T287" i="11"/>
  <c r="V289" i="11" s="1"/>
  <c r="Y289" i="11" s="1"/>
  <c r="G317" i="11"/>
  <c r="G346" i="11"/>
  <c r="S363" i="11"/>
  <c r="T363" i="11"/>
  <c r="X363" i="11" s="1"/>
  <c r="S379" i="11"/>
  <c r="T379" i="11"/>
  <c r="X379" i="11" s="1"/>
  <c r="T431" i="11"/>
  <c r="W431" i="11" s="1"/>
  <c r="S431" i="11"/>
  <c r="T477" i="11"/>
  <c r="W477" i="11" s="1"/>
  <c r="T530" i="11"/>
  <c r="Y530" i="11" s="1"/>
  <c r="T623" i="11"/>
  <c r="X623" i="11" s="1"/>
  <c r="S623" i="11"/>
  <c r="T631" i="11"/>
  <c r="S631" i="11"/>
  <c r="S634" i="11"/>
  <c r="T634" i="11"/>
  <c r="S642" i="11"/>
  <c r="T642" i="11"/>
  <c r="S870" i="11"/>
  <c r="T870" i="11"/>
  <c r="W870" i="11" s="1"/>
  <c r="T998" i="11"/>
  <c r="T999" i="11"/>
  <c r="V1000" i="11" s="1"/>
  <c r="T1003" i="11"/>
  <c r="Y1003" i="11" s="1"/>
  <c r="T31" i="11"/>
  <c r="X31" i="11" s="1"/>
  <c r="T32" i="11"/>
  <c r="S49" i="11"/>
  <c r="T49" i="11"/>
  <c r="S54" i="11"/>
  <c r="T54" i="11"/>
  <c r="X54" i="11" s="1"/>
  <c r="S89" i="11"/>
  <c r="T114" i="11"/>
  <c r="Y114" i="11" s="1"/>
  <c r="T126" i="11"/>
  <c r="Y126" i="11" s="1"/>
  <c r="G137" i="11"/>
  <c r="I137" i="11" s="1"/>
  <c r="S210" i="11"/>
  <c r="T210" i="11"/>
  <c r="Y210" i="11" s="1"/>
  <c r="T236" i="11"/>
  <c r="Y236" i="11" s="1"/>
  <c r="S361" i="11"/>
  <c r="T361" i="11"/>
  <c r="S377" i="11"/>
  <c r="T377" i="11"/>
  <c r="Y377" i="11" s="1"/>
  <c r="T398" i="11"/>
  <c r="W398" i="11" s="1"/>
  <c r="G443" i="11"/>
  <c r="I443" i="11" s="1"/>
  <c r="G502" i="11"/>
  <c r="G512" i="11"/>
  <c r="T541" i="11"/>
  <c r="X541" i="11" s="1"/>
  <c r="T542" i="11"/>
  <c r="X542" i="11" s="1"/>
  <c r="T619" i="11"/>
  <c r="X619" i="11" s="1"/>
  <c r="S619" i="11"/>
  <c r="S638" i="11"/>
  <c r="T638" i="11"/>
  <c r="W638" i="11" s="1"/>
  <c r="S640" i="11"/>
  <c r="T640" i="11"/>
  <c r="T718" i="11"/>
  <c r="X718" i="11" s="1"/>
  <c r="T863" i="11"/>
  <c r="S867" i="11"/>
  <c r="T867" i="11"/>
  <c r="T894" i="11"/>
  <c r="T926" i="11"/>
  <c r="W926" i="11" s="1"/>
  <c r="T1064" i="11"/>
  <c r="W1064" i="11" s="1"/>
  <c r="G1100" i="11"/>
  <c r="I1100" i="11" s="1"/>
  <c r="G1120" i="11"/>
  <c r="I1120" i="11" s="1"/>
  <c r="S1802" i="11"/>
  <c r="T1802" i="11"/>
  <c r="T43" i="11"/>
  <c r="Y43" i="11" s="1"/>
  <c r="T51" i="11"/>
  <c r="T59" i="11"/>
  <c r="W59" i="11" s="1"/>
  <c r="T67" i="11"/>
  <c r="T78" i="11"/>
  <c r="Y78" i="11" s="1"/>
  <c r="S101" i="11"/>
  <c r="G157" i="11"/>
  <c r="I157" i="11" s="1"/>
  <c r="T169" i="11"/>
  <c r="W169" i="11" s="1"/>
  <c r="T193" i="11"/>
  <c r="T201" i="11"/>
  <c r="T209" i="11"/>
  <c r="W209" i="11" s="1"/>
  <c r="I222" i="11"/>
  <c r="T225" i="11"/>
  <c r="T230" i="11"/>
  <c r="T242" i="11"/>
  <c r="G254" i="11"/>
  <c r="T259" i="11"/>
  <c r="V260" i="11" s="1"/>
  <c r="T275" i="11"/>
  <c r="V277" i="11" s="1"/>
  <c r="Y277" i="11" s="1"/>
  <c r="S359" i="11"/>
  <c r="T359" i="11"/>
  <c r="S367" i="11"/>
  <c r="T367" i="11"/>
  <c r="X367" i="11" s="1"/>
  <c r="S375" i="11"/>
  <c r="T375" i="11"/>
  <c r="W375" i="11" s="1"/>
  <c r="G404" i="11"/>
  <c r="I404" i="11" s="1"/>
  <c r="G462" i="11"/>
  <c r="I462" i="11" s="1"/>
  <c r="T475" i="11"/>
  <c r="W475" i="11" s="1"/>
  <c r="T527" i="11"/>
  <c r="Y527" i="11" s="1"/>
  <c r="T533" i="11"/>
  <c r="Y533" i="11" s="1"/>
  <c r="T534" i="11"/>
  <c r="W534" i="11" s="1"/>
  <c r="S561" i="11"/>
  <c r="S567" i="11"/>
  <c r="T567" i="11"/>
  <c r="W567" i="11" s="1"/>
  <c r="S570" i="11"/>
  <c r="T570" i="11"/>
  <c r="S577" i="11"/>
  <c r="S583" i="11"/>
  <c r="T583" i="11"/>
  <c r="W583" i="11" s="1"/>
  <c r="S586" i="11"/>
  <c r="T586" i="11"/>
  <c r="Y586" i="11" s="1"/>
  <c r="T659" i="11"/>
  <c r="W659" i="11" s="1"/>
  <c r="T801" i="11"/>
  <c r="X801" i="11" s="1"/>
  <c r="T908" i="11"/>
  <c r="X908" i="11" s="1"/>
  <c r="G908" i="11"/>
  <c r="I908" i="11" s="1"/>
  <c r="G912" i="11"/>
  <c r="I912" i="11" s="1"/>
  <c r="S950" i="11"/>
  <c r="T950" i="11"/>
  <c r="S952" i="11"/>
  <c r="T952" i="11"/>
  <c r="W952" i="11" s="1"/>
  <c r="S954" i="11"/>
  <c r="T954" i="11"/>
  <c r="S956" i="11"/>
  <c r="T956" i="11"/>
  <c r="W956" i="11" s="1"/>
  <c r="S958" i="11"/>
  <c r="T958" i="11"/>
  <c r="S960" i="11"/>
  <c r="T960" i="11"/>
  <c r="W960" i="11" s="1"/>
  <c r="S962" i="11"/>
  <c r="T962" i="11"/>
  <c r="S964" i="11"/>
  <c r="T964" i="11"/>
  <c r="W964" i="11" s="1"/>
  <c r="S966" i="11"/>
  <c r="T966" i="11"/>
  <c r="S968" i="11"/>
  <c r="T968" i="11"/>
  <c r="W968" i="11" s="1"/>
  <c r="S970" i="11"/>
  <c r="T970" i="11"/>
  <c r="S972" i="11"/>
  <c r="T972" i="11"/>
  <c r="W972" i="11" s="1"/>
  <c r="S974" i="11"/>
  <c r="T974" i="11"/>
  <c r="S976" i="11"/>
  <c r="T976" i="11"/>
  <c r="W976" i="11" s="1"/>
  <c r="S978" i="11"/>
  <c r="T978" i="11"/>
  <c r="S980" i="11"/>
  <c r="T980" i="11"/>
  <c r="W980" i="11" s="1"/>
  <c r="T1192" i="11"/>
  <c r="G1208" i="11"/>
  <c r="I1208" i="11" s="1"/>
  <c r="S1806" i="11"/>
  <c r="T1806" i="11"/>
  <c r="W1806" i="11" s="1"/>
  <c r="T1838" i="11"/>
  <c r="S1838" i="11"/>
  <c r="T1846" i="11"/>
  <c r="Y1846" i="11" s="1"/>
  <c r="S1846" i="11"/>
  <c r="S44" i="11"/>
  <c r="T44" i="11"/>
  <c r="X44" i="11" s="1"/>
  <c r="S45" i="11"/>
  <c r="S48" i="11"/>
  <c r="S52" i="11"/>
  <c r="T52" i="11"/>
  <c r="Y52" i="11" s="1"/>
  <c r="S53" i="11"/>
  <c r="S56" i="11"/>
  <c r="S60" i="11"/>
  <c r="T60" i="11"/>
  <c r="W60" i="11" s="1"/>
  <c r="S61" i="11"/>
  <c r="S64" i="11"/>
  <c r="T83" i="11"/>
  <c r="Y83" i="11" s="1"/>
  <c r="T86" i="11"/>
  <c r="S97" i="11"/>
  <c r="T98" i="11"/>
  <c r="T103" i="11"/>
  <c r="Y103" i="11" s="1"/>
  <c r="G140" i="11"/>
  <c r="I140" i="11" s="1"/>
  <c r="G183" i="11"/>
  <c r="I183" i="11" s="1"/>
  <c r="S191" i="11"/>
  <c r="T191" i="11"/>
  <c r="S192" i="11"/>
  <c r="S199" i="11"/>
  <c r="T199" i="11"/>
  <c r="X199" i="11" s="1"/>
  <c r="S200" i="11"/>
  <c r="S207" i="11"/>
  <c r="T207" i="11"/>
  <c r="S208" i="11"/>
  <c r="S215" i="11"/>
  <c r="T215" i="11"/>
  <c r="X215" i="11" s="1"/>
  <c r="T232" i="11"/>
  <c r="Y232" i="11" s="1"/>
  <c r="T234" i="11"/>
  <c r="T246" i="11"/>
  <c r="Y246" i="11" s="1"/>
  <c r="G278" i="11"/>
  <c r="G299" i="11"/>
  <c r="G303" i="11"/>
  <c r="T307" i="11"/>
  <c r="Y307" i="11" s="1"/>
  <c r="G328" i="11"/>
  <c r="G334" i="11"/>
  <c r="S357" i="11"/>
  <c r="T357" i="11"/>
  <c r="W357" i="11" s="1"/>
  <c r="S365" i="11"/>
  <c r="T365" i="11"/>
  <c r="W365" i="11" s="1"/>
  <c r="S373" i="11"/>
  <c r="T373" i="11"/>
  <c r="T423" i="11"/>
  <c r="W423" i="11" s="1"/>
  <c r="S425" i="11"/>
  <c r="T481" i="11"/>
  <c r="W481" i="11" s="1"/>
  <c r="T518" i="11"/>
  <c r="X518" i="11" s="1"/>
  <c r="T523" i="11"/>
  <c r="W523" i="11" s="1"/>
  <c r="T525" i="11"/>
  <c r="X525" i="11" s="1"/>
  <c r="T526" i="11"/>
  <c r="Y526" i="11" s="1"/>
  <c r="T564" i="11"/>
  <c r="W564" i="11" s="1"/>
  <c r="T580" i="11"/>
  <c r="X580" i="11" s="1"/>
  <c r="T606" i="11"/>
  <c r="S624" i="11"/>
  <c r="S630" i="11"/>
  <c r="T653" i="11"/>
  <c r="W653" i="11" s="1"/>
  <c r="T667" i="11"/>
  <c r="X667" i="11" s="1"/>
  <c r="T734" i="11"/>
  <c r="X734" i="11" s="1"/>
  <c r="T774" i="11"/>
  <c r="T793" i="11"/>
  <c r="X793" i="11" s="1"/>
  <c r="T797" i="11"/>
  <c r="Y797" i="11" s="1"/>
  <c r="T816" i="11"/>
  <c r="T841" i="11"/>
  <c r="X841" i="11" s="1"/>
  <c r="T849" i="11"/>
  <c r="W849" i="11" s="1"/>
  <c r="S862" i="11"/>
  <c r="S882" i="11"/>
  <c r="T882" i="11"/>
  <c r="W882" i="11" s="1"/>
  <c r="T900" i="11"/>
  <c r="X900" i="11" s="1"/>
  <c r="G900" i="11"/>
  <c r="I900" i="11" s="1"/>
  <c r="T928" i="11"/>
  <c r="Y928" i="11" s="1"/>
  <c r="T929" i="11"/>
  <c r="W929" i="11" s="1"/>
  <c r="T948" i="11"/>
  <c r="W948" i="11" s="1"/>
  <c r="W1004" i="11"/>
  <c r="T1047" i="11"/>
  <c r="W1047" i="11" s="1"/>
  <c r="G1088" i="11"/>
  <c r="I1088" i="11" s="1"/>
  <c r="T1092" i="11"/>
  <c r="X1092" i="11" s="1"/>
  <c r="G1104" i="11"/>
  <c r="I1104" i="11" s="1"/>
  <c r="T1176" i="11"/>
  <c r="X1176" i="11" s="1"/>
  <c r="G1216" i="11"/>
  <c r="I1216" i="11" s="1"/>
  <c r="T1244" i="11"/>
  <c r="G307" i="11"/>
  <c r="G312" i="11"/>
  <c r="T352" i="11"/>
  <c r="W352" i="11" s="1"/>
  <c r="T438" i="11"/>
  <c r="G458" i="11"/>
  <c r="I458" i="11" s="1"/>
  <c r="T470" i="11"/>
  <c r="T483" i="11"/>
  <c r="G489" i="11"/>
  <c r="T507" i="11"/>
  <c r="T531" i="11"/>
  <c r="T548" i="11"/>
  <c r="Y548" i="11" s="1"/>
  <c r="T550" i="11"/>
  <c r="Y550" i="11" s="1"/>
  <c r="S562" i="11"/>
  <c r="T572" i="11"/>
  <c r="X572" i="11" s="1"/>
  <c r="S575" i="11"/>
  <c r="T575" i="11"/>
  <c r="W575" i="11" s="1"/>
  <c r="S578" i="11"/>
  <c r="T588" i="11"/>
  <c r="X588" i="11" s="1"/>
  <c r="T647" i="11"/>
  <c r="X647" i="11" s="1"/>
  <c r="T674" i="11"/>
  <c r="T675" i="11"/>
  <c r="W675" i="11" s="1"/>
  <c r="T679" i="11"/>
  <c r="T683" i="11"/>
  <c r="Y683" i="11" s="1"/>
  <c r="T687" i="11"/>
  <c r="X687" i="11" s="1"/>
  <c r="T691" i="11"/>
  <c r="T695" i="11"/>
  <c r="T699" i="11"/>
  <c r="X699" i="11" s="1"/>
  <c r="T703" i="11"/>
  <c r="X703" i="11" s="1"/>
  <c r="T707" i="11"/>
  <c r="Y707" i="11" s="1"/>
  <c r="T720" i="11"/>
  <c r="T760" i="11"/>
  <c r="X760" i="11" s="1"/>
  <c r="T768" i="11"/>
  <c r="Y768" i="11" s="1"/>
  <c r="T809" i="11"/>
  <c r="X809" i="11" s="1"/>
  <c r="T817" i="11"/>
  <c r="W817" i="11" s="1"/>
  <c r="T848" i="11"/>
  <c r="X848" i="11" s="1"/>
  <c r="S868" i="11"/>
  <c r="S879" i="11"/>
  <c r="T879" i="11"/>
  <c r="X879" i="11" s="1"/>
  <c r="S880" i="11"/>
  <c r="S887" i="11"/>
  <c r="T887" i="11"/>
  <c r="Y887" i="11" s="1"/>
  <c r="S888" i="11"/>
  <c r="T890" i="11"/>
  <c r="W890" i="11" s="1"/>
  <c r="T895" i="11"/>
  <c r="W895" i="11" s="1"/>
  <c r="T898" i="11"/>
  <c r="G916" i="11"/>
  <c r="I916" i="11" s="1"/>
  <c r="T994" i="11"/>
  <c r="T1025" i="11"/>
  <c r="G1124" i="11"/>
  <c r="I1124" i="11" s="1"/>
  <c r="G1188" i="11"/>
  <c r="I1188" i="11" s="1"/>
  <c r="T1275" i="11"/>
  <c r="V1277" i="11" s="1"/>
  <c r="Y1277" i="11" s="1"/>
  <c r="G1280" i="11"/>
  <c r="I1280" i="11" s="1"/>
  <c r="G1305" i="11"/>
  <c r="I1305" i="11" s="1"/>
  <c r="T1339" i="11"/>
  <c r="W1339" i="11" s="1"/>
  <c r="T1375" i="11"/>
  <c r="V1379" i="11" s="1"/>
  <c r="T1465" i="11"/>
  <c r="X1465" i="11" s="1"/>
  <c r="T1705" i="11"/>
  <c r="V1706" i="11" s="1"/>
  <c r="T1829" i="11"/>
  <c r="Y1829" i="11" s="1"/>
  <c r="S1829" i="11"/>
  <c r="T1831" i="11"/>
  <c r="X1831" i="11" s="1"/>
  <c r="S1831" i="11"/>
  <c r="T1844" i="11"/>
  <c r="Y1844" i="11" s="1"/>
  <c r="T986" i="11"/>
  <c r="T990" i="11"/>
  <c r="Y990" i="11" s="1"/>
  <c r="G1035" i="11"/>
  <c r="I1035" i="11" s="1"/>
  <c r="G1068" i="11"/>
  <c r="I1068" i="11" s="1"/>
  <c r="G1108" i="11"/>
  <c r="I1108" i="11" s="1"/>
  <c r="G1144" i="11"/>
  <c r="I1144" i="11" s="1"/>
  <c r="T1208" i="11"/>
  <c r="V1209" i="11" s="1"/>
  <c r="X1209" i="11" s="1"/>
  <c r="T1224" i="11"/>
  <c r="G1232" i="11"/>
  <c r="I1232" i="11" s="1"/>
  <c r="G1248" i="11"/>
  <c r="I1248" i="11" s="1"/>
  <c r="G1260" i="11"/>
  <c r="I1260" i="11" s="1"/>
  <c r="G1290" i="11"/>
  <c r="I1290" i="11" s="1"/>
  <c r="G1300" i="11"/>
  <c r="I1300" i="11" s="1"/>
  <c r="G1310" i="11"/>
  <c r="I1310" i="11" s="1"/>
  <c r="T1423" i="11"/>
  <c r="V1428" i="11" s="1"/>
  <c r="T1501" i="11"/>
  <c r="X1501" i="11" s="1"/>
  <c r="T1513" i="11"/>
  <c r="X1513" i="11" s="1"/>
  <c r="T1549" i="11"/>
  <c r="V1554" i="11" s="1"/>
  <c r="T1561" i="11"/>
  <c r="V1565" i="11" s="1"/>
  <c r="T1621" i="11"/>
  <c r="V1622" i="11" s="1"/>
  <c r="W1622" i="11" s="1"/>
  <c r="T1663" i="11"/>
  <c r="Y1663" i="11" s="1"/>
  <c r="T1823" i="11"/>
  <c r="W1823" i="11" s="1"/>
  <c r="T1826" i="11"/>
  <c r="Y1826" i="11" s="1"/>
  <c r="S1826" i="11"/>
  <c r="T1573" i="11"/>
  <c r="T1609" i="11"/>
  <c r="V1611" i="11" s="1"/>
  <c r="T1633" i="11"/>
  <c r="V1636" i="11" s="1"/>
  <c r="T1723" i="11"/>
  <c r="V1724" i="11" s="1"/>
  <c r="T1747" i="11"/>
  <c r="Y1747" i="11" s="1"/>
  <c r="T1753" i="11"/>
  <c r="Y1753" i="11" s="1"/>
  <c r="T1759" i="11"/>
  <c r="Y1759" i="11" s="1"/>
  <c r="S1782" i="11"/>
  <c r="S1784" i="11"/>
  <c r="S1786" i="11"/>
  <c r="S1790" i="11"/>
  <c r="S1792" i="11"/>
  <c r="S1794" i="11"/>
  <c r="S1799" i="11"/>
  <c r="T1799" i="11"/>
  <c r="W1799" i="11" s="1"/>
  <c r="S1800" i="11"/>
  <c r="S1807" i="11"/>
  <c r="T1807" i="11"/>
  <c r="S1808" i="11"/>
  <c r="T1815" i="11"/>
  <c r="Y1815" i="11" s="1"/>
  <c r="T1832" i="11"/>
  <c r="Y1832" i="11" s="1"/>
  <c r="T1834" i="11"/>
  <c r="Y1834" i="11" s="1"/>
  <c r="T1836" i="11"/>
  <c r="T1840" i="11"/>
  <c r="Y1840" i="11" s="1"/>
  <c r="T1842" i="11"/>
  <c r="Y1842" i="11" s="1"/>
  <c r="T1847" i="11"/>
  <c r="W1847" i="11" s="1"/>
  <c r="T1850" i="11"/>
  <c r="Y1850" i="11" s="1"/>
  <c r="T1852" i="11"/>
  <c r="Y1852" i="11" s="1"/>
  <c r="T175" i="11"/>
  <c r="T227" i="11"/>
  <c r="T231" i="11"/>
  <c r="T235" i="11"/>
  <c r="G264" i="11"/>
  <c r="T441" i="11"/>
  <c r="T447" i="11"/>
  <c r="T454" i="11"/>
  <c r="T484" i="11"/>
  <c r="T617" i="11"/>
  <c r="S617" i="11"/>
  <c r="T786" i="11"/>
  <c r="T791" i="11"/>
  <c r="W791" i="11" s="1"/>
  <c r="I33" i="11"/>
  <c r="I35" i="11"/>
  <c r="T45" i="11"/>
  <c r="T53" i="11"/>
  <c r="T61" i="11"/>
  <c r="S94" i="11"/>
  <c r="S98" i="11"/>
  <c r="S102" i="11"/>
  <c r="S106" i="11"/>
  <c r="T173" i="11"/>
  <c r="T198" i="11"/>
  <c r="W198" i="11" s="1"/>
  <c r="T206" i="11"/>
  <c r="W206" i="11" s="1"/>
  <c r="T214" i="11"/>
  <c r="T19" i="11"/>
  <c r="T21" i="11"/>
  <c r="T29" i="11"/>
  <c r="T41" i="11"/>
  <c r="S43" i="11"/>
  <c r="T47" i="11"/>
  <c r="S51" i="11"/>
  <c r="T55" i="11"/>
  <c r="S59" i="11"/>
  <c r="T63" i="11"/>
  <c r="S67" i="11"/>
  <c r="T81" i="11"/>
  <c r="T85" i="11"/>
  <c r="T89" i="11"/>
  <c r="T90" i="11"/>
  <c r="S91" i="11"/>
  <c r="T93" i="11"/>
  <c r="S95" i="11"/>
  <c r="T97" i="11"/>
  <c r="S99" i="11"/>
  <c r="T101" i="11"/>
  <c r="S103" i="11"/>
  <c r="T105" i="11"/>
  <c r="S107" i="11"/>
  <c r="T109" i="11"/>
  <c r="T110" i="11"/>
  <c r="S111" i="11"/>
  <c r="T129" i="11"/>
  <c r="T131" i="11"/>
  <c r="G153" i="11"/>
  <c r="I153" i="11" s="1"/>
  <c r="G169" i="11"/>
  <c r="I169" i="11" s="1"/>
  <c r="T174" i="11"/>
  <c r="T178" i="11"/>
  <c r="T179" i="11"/>
  <c r="T196" i="11"/>
  <c r="T204" i="11"/>
  <c r="W204" i="11" s="1"/>
  <c r="T212" i="11"/>
  <c r="T248" i="11"/>
  <c r="T334" i="11"/>
  <c r="T346" i="11"/>
  <c r="S410" i="11"/>
  <c r="T410" i="11"/>
  <c r="S414" i="11"/>
  <c r="T414" i="11"/>
  <c r="S418" i="11"/>
  <c r="T418" i="11"/>
  <c r="S422" i="11"/>
  <c r="T422" i="11"/>
  <c r="S426" i="11"/>
  <c r="T426" i="11"/>
  <c r="S430" i="11"/>
  <c r="T430" i="11"/>
  <c r="S434" i="11"/>
  <c r="T434" i="11"/>
  <c r="T448" i="11"/>
  <c r="T452" i="11"/>
  <c r="G507" i="11"/>
  <c r="T551" i="11"/>
  <c r="S551" i="11"/>
  <c r="T599" i="11"/>
  <c r="T604" i="11"/>
  <c r="T621" i="11"/>
  <c r="S621" i="11"/>
  <c r="T637" i="11"/>
  <c r="S637" i="11"/>
  <c r="P649" i="11"/>
  <c r="T668" i="11"/>
  <c r="T818" i="11"/>
  <c r="T823" i="11"/>
  <c r="W823" i="11" s="1"/>
  <c r="S866" i="11"/>
  <c r="T866" i="11"/>
  <c r="W866" i="11" s="1"/>
  <c r="T1035" i="11"/>
  <c r="T221" i="11"/>
  <c r="T247" i="11"/>
  <c r="T384" i="11"/>
  <c r="T665" i="11"/>
  <c r="W665" i="11" s="1"/>
  <c r="T157" i="11"/>
  <c r="T176" i="11"/>
  <c r="T217" i="11"/>
  <c r="T224" i="11"/>
  <c r="T264" i="11"/>
  <c r="T340" i="11"/>
  <c r="S412" i="11"/>
  <c r="T412" i="11"/>
  <c r="S416" i="11"/>
  <c r="T416" i="11"/>
  <c r="S420" i="11"/>
  <c r="T420" i="11"/>
  <c r="S424" i="11"/>
  <c r="T424" i="11"/>
  <c r="S428" i="11"/>
  <c r="T428" i="11"/>
  <c r="S432" i="11"/>
  <c r="T432" i="11"/>
  <c r="T437" i="11"/>
  <c r="T450" i="11"/>
  <c r="G493" i="11"/>
  <c r="G497" i="11"/>
  <c r="T615" i="11"/>
  <c r="T629" i="11"/>
  <c r="S629" i="11"/>
  <c r="T652" i="11"/>
  <c r="T657" i="11"/>
  <c r="T754" i="11"/>
  <c r="T759" i="11"/>
  <c r="W759" i="11" s="1"/>
  <c r="S858" i="11"/>
  <c r="T858" i="11"/>
  <c r="T239" i="11"/>
  <c r="G340" i="11"/>
  <c r="T451" i="11"/>
  <c r="T633" i="11"/>
  <c r="S633" i="11"/>
  <c r="T660" i="11"/>
  <c r="S878" i="11"/>
  <c r="T878" i="11"/>
  <c r="W878" i="11" s="1"/>
  <c r="T140" i="11"/>
  <c r="T146" i="11"/>
  <c r="T24" i="11"/>
  <c r="T71" i="11"/>
  <c r="T76" i="11"/>
  <c r="W76" i="11" s="1"/>
  <c r="T124" i="11"/>
  <c r="T177" i="11"/>
  <c r="T272" i="11"/>
  <c r="T284" i="11"/>
  <c r="T296" i="11"/>
  <c r="T312" i="11"/>
  <c r="T383" i="11"/>
  <c r="T449" i="11"/>
  <c r="S558" i="11"/>
  <c r="T558" i="11"/>
  <c r="W558" i="11" s="1"/>
  <c r="S566" i="11"/>
  <c r="T566" i="11"/>
  <c r="S574" i="11"/>
  <c r="T574" i="11"/>
  <c r="W574" i="11" s="1"/>
  <c r="S582" i="11"/>
  <c r="T582" i="11"/>
  <c r="W582" i="11" s="1"/>
  <c r="T607" i="11"/>
  <c r="T612" i="11"/>
  <c r="W612" i="11" s="1"/>
  <c r="T625" i="11"/>
  <c r="S625" i="11"/>
  <c r="T641" i="11"/>
  <c r="S641" i="11"/>
  <c r="T676" i="11"/>
  <c r="T722" i="11"/>
  <c r="T727" i="11"/>
  <c r="W727" i="11" s="1"/>
  <c r="T850" i="11"/>
  <c r="T855" i="11"/>
  <c r="W855" i="11" s="1"/>
  <c r="T512" i="11"/>
  <c r="T524" i="11"/>
  <c r="T532" i="11"/>
  <c r="T536" i="11"/>
  <c r="T560" i="11"/>
  <c r="S564" i="11"/>
  <c r="T568" i="11"/>
  <c r="S572" i="11"/>
  <c r="T576" i="11"/>
  <c r="S580" i="11"/>
  <c r="T584" i="11"/>
  <c r="S588" i="11"/>
  <c r="T601" i="11"/>
  <c r="T609" i="11"/>
  <c r="S647" i="11"/>
  <c r="T654" i="11"/>
  <c r="T662" i="11"/>
  <c r="T670" i="11"/>
  <c r="T678" i="11"/>
  <c r="T682" i="11"/>
  <c r="T686" i="11"/>
  <c r="T690" i="11"/>
  <c r="T694" i="11"/>
  <c r="T698" i="11"/>
  <c r="T702" i="11"/>
  <c r="T706" i="11"/>
  <c r="T730" i="11"/>
  <c r="T735" i="11"/>
  <c r="W735" i="11" s="1"/>
  <c r="T762" i="11"/>
  <c r="T767" i="11"/>
  <c r="W767" i="11" s="1"/>
  <c r="T794" i="11"/>
  <c r="T799" i="11"/>
  <c r="W799" i="11" s="1"/>
  <c r="T826" i="11"/>
  <c r="T831" i="11"/>
  <c r="W831" i="11" s="1"/>
  <c r="O932" i="11"/>
  <c r="Q932" i="11"/>
  <c r="G1051" i="11"/>
  <c r="I1051" i="11" s="1"/>
  <c r="T714" i="11"/>
  <c r="T719" i="11"/>
  <c r="W719" i="11" s="1"/>
  <c r="T746" i="11"/>
  <c r="T751" i="11"/>
  <c r="T778" i="11"/>
  <c r="T783" i="11"/>
  <c r="T810" i="11"/>
  <c r="T815" i="11"/>
  <c r="T842" i="11"/>
  <c r="T847" i="11"/>
  <c r="S886" i="11"/>
  <c r="T886" i="11"/>
  <c r="T920" i="11"/>
  <c r="T989" i="11"/>
  <c r="T1007" i="11"/>
  <c r="T1043" i="11"/>
  <c r="T711" i="11"/>
  <c r="T738" i="11"/>
  <c r="T743" i="11"/>
  <c r="W743" i="11" s="1"/>
  <c r="T770" i="11"/>
  <c r="T775" i="11"/>
  <c r="T802" i="11"/>
  <c r="T807" i="11"/>
  <c r="T834" i="11"/>
  <c r="T839" i="11"/>
  <c r="T1011" i="11"/>
  <c r="O1860" i="11"/>
  <c r="T716" i="11"/>
  <c r="T724" i="11"/>
  <c r="T732" i="11"/>
  <c r="T740" i="11"/>
  <c r="T748" i="11"/>
  <c r="T756" i="11"/>
  <c r="T764" i="11"/>
  <c r="T772" i="11"/>
  <c r="T788" i="11"/>
  <c r="T804" i="11"/>
  <c r="T820" i="11"/>
  <c r="T836" i="11"/>
  <c r="T852" i="11"/>
  <c r="T860" i="11"/>
  <c r="S864" i="11"/>
  <c r="T868" i="11"/>
  <c r="S872" i="11"/>
  <c r="T876" i="11"/>
  <c r="T884" i="11"/>
  <c r="W884" i="11" s="1"/>
  <c r="T893" i="11"/>
  <c r="T925" i="11"/>
  <c r="T993" i="11"/>
  <c r="W1005" i="11"/>
  <c r="T1008" i="11"/>
  <c r="T1068" i="11"/>
  <c r="W1068" i="11" s="1"/>
  <c r="G1112" i="11"/>
  <c r="I1112" i="11" s="1"/>
  <c r="G1116" i="11"/>
  <c r="I1116" i="11" s="1"/>
  <c r="T1132" i="11"/>
  <c r="W1132" i="11" s="1"/>
  <c r="T940" i="11"/>
  <c r="T985" i="11"/>
  <c r="X1005" i="11"/>
  <c r="Y1005" i="11"/>
  <c r="T1006" i="11"/>
  <c r="T1010" i="11"/>
  <c r="G1080" i="11"/>
  <c r="I1080" i="11" s="1"/>
  <c r="G1084" i="11"/>
  <c r="I1084" i="11" s="1"/>
  <c r="T1100" i="11"/>
  <c r="T945" i="11"/>
  <c r="T997" i="11"/>
  <c r="T1009" i="11"/>
  <c r="T1012" i="11"/>
  <c r="T1051" i="11"/>
  <c r="T1156" i="11"/>
  <c r="W1156" i="11" s="1"/>
  <c r="T1381" i="11"/>
  <c r="W1381" i="11" s="1"/>
  <c r="T1172" i="11"/>
  <c r="W1172" i="11" s="1"/>
  <c r="T1188" i="11"/>
  <c r="T1204" i="11"/>
  <c r="W1204" i="11" s="1"/>
  <c r="T1220" i="11"/>
  <c r="W1220" i="11" s="1"/>
  <c r="T1236" i="11"/>
  <c r="T1252" i="11"/>
  <c r="W1252" i="11" s="1"/>
  <c r="T1265" i="11"/>
  <c r="T1357" i="11"/>
  <c r="W1357" i="11" s="1"/>
  <c r="T1351" i="11"/>
  <c r="T1531" i="11"/>
  <c r="T1507" i="11"/>
  <c r="T1735" i="11"/>
  <c r="T1555" i="11"/>
  <c r="T1657" i="11"/>
  <c r="T1681" i="11"/>
  <c r="S1823" i="11"/>
  <c r="S1847" i="11"/>
  <c r="S1835" i="11"/>
  <c r="S1837" i="11"/>
  <c r="S1851" i="11"/>
  <c r="S1853" i="11"/>
  <c r="S1778" i="11"/>
  <c r="F1727" i="11"/>
  <c r="G1727" i="11" s="1"/>
  <c r="T1778" i="11"/>
  <c r="S1824" i="11"/>
  <c r="S1828" i="11"/>
  <c r="S1832" i="11"/>
  <c r="S1836" i="11"/>
  <c r="S1840" i="11"/>
  <c r="S1844" i="11"/>
  <c r="S1848" i="11"/>
  <c r="S1852" i="11"/>
  <c r="S1798" i="11"/>
  <c r="V1395" i="11" l="1"/>
  <c r="W983" i="11"/>
  <c r="U982" i="11"/>
  <c r="X1835" i="11"/>
  <c r="V1040" i="11"/>
  <c r="X1040" i="11" s="1"/>
  <c r="W75" i="11"/>
  <c r="Y1835" i="11"/>
  <c r="X1039" i="11"/>
  <c r="W121" i="11"/>
  <c r="X777" i="11"/>
  <c r="Y121" i="11"/>
  <c r="V1041" i="11"/>
  <c r="Y1041" i="11" s="1"/>
  <c r="V1545" i="11"/>
  <c r="X1545" i="11" s="1"/>
  <c r="Y107" i="11"/>
  <c r="P1862" i="11"/>
  <c r="W28" i="11"/>
  <c r="X249" i="11"/>
  <c r="W1260" i="11"/>
  <c r="Y1108" i="11"/>
  <c r="T1780" i="11"/>
  <c r="Y1780" i="11" s="1"/>
  <c r="Y1160" i="11"/>
  <c r="W611" i="11"/>
  <c r="X827" i="11"/>
  <c r="V1263" i="11"/>
  <c r="Y1263" i="11" s="1"/>
  <c r="W367" i="11"/>
  <c r="W388" i="11"/>
  <c r="W1072" i="11"/>
  <c r="Y888" i="11"/>
  <c r="V1073" i="11"/>
  <c r="Y1073" i="11" s="1"/>
  <c r="W1477" i="11"/>
  <c r="S415" i="11"/>
  <c r="T861" i="11"/>
  <c r="X861" i="11" s="1"/>
  <c r="Y1501" i="11"/>
  <c r="V1400" i="11"/>
  <c r="Y1400" i="11" s="1"/>
  <c r="V1262" i="11"/>
  <c r="Y1262" i="11" s="1"/>
  <c r="Y951" i="11"/>
  <c r="Y733" i="11"/>
  <c r="X75" i="11"/>
  <c r="W736" i="11"/>
  <c r="W107" i="11"/>
  <c r="S1849" i="11"/>
  <c r="X1687" i="11"/>
  <c r="W1525" i="11"/>
  <c r="X208" i="11"/>
  <c r="W69" i="11"/>
  <c r="W208" i="11"/>
  <c r="W1834" i="11"/>
  <c r="V1394" i="11"/>
  <c r="W1394" i="11" s="1"/>
  <c r="W755" i="11"/>
  <c r="Y708" i="11"/>
  <c r="X137" i="11"/>
  <c r="V1062" i="11"/>
  <c r="W1062" i="11" s="1"/>
  <c r="Y1393" i="11"/>
  <c r="V1689" i="11"/>
  <c r="Y1689" i="11" s="1"/>
  <c r="V1529" i="11"/>
  <c r="X1529" i="11" s="1"/>
  <c r="X1834" i="11"/>
  <c r="Y1851" i="11"/>
  <c r="X1847" i="11"/>
  <c r="Y803" i="11"/>
  <c r="Y731" i="11"/>
  <c r="V139" i="11"/>
  <c r="W139" i="11" s="1"/>
  <c r="V184" i="11"/>
  <c r="X184" i="11" s="1"/>
  <c r="W195" i="11"/>
  <c r="V135" i="11"/>
  <c r="X135" i="11" s="1"/>
  <c r="W30" i="11"/>
  <c r="V1692" i="11"/>
  <c r="W1692" i="11" s="1"/>
  <c r="W1310" i="11"/>
  <c r="V1213" i="11"/>
  <c r="Y1213" i="11" s="1"/>
  <c r="W793" i="11"/>
  <c r="S1803" i="11"/>
  <c r="Y1212" i="11"/>
  <c r="V1113" i="11"/>
  <c r="X1113" i="11" s="1"/>
  <c r="V1042" i="11"/>
  <c r="X1042" i="11" s="1"/>
  <c r="W981" i="11"/>
  <c r="X709" i="11"/>
  <c r="Y1333" i="11"/>
  <c r="Y827" i="11"/>
  <c r="Y646" i="11"/>
  <c r="X58" i="11"/>
  <c r="T1781" i="11"/>
  <c r="W1781" i="11" s="1"/>
  <c r="W1039" i="11"/>
  <c r="Y189" i="11"/>
  <c r="X134" i="11"/>
  <c r="Y69" i="11"/>
  <c r="Y44" i="11"/>
  <c r="X1783" i="11"/>
  <c r="Y388" i="11"/>
  <c r="Y197" i="11"/>
  <c r="V1481" i="11"/>
  <c r="Y1481" i="11" s="1"/>
  <c r="Y389" i="11"/>
  <c r="X1829" i="11"/>
  <c r="V1443" i="11"/>
  <c r="X1443" i="11" s="1"/>
  <c r="Y749" i="11"/>
  <c r="X717" i="11"/>
  <c r="Y1305" i="11"/>
  <c r="Y912" i="11"/>
  <c r="X1088" i="11"/>
  <c r="W44" i="11"/>
  <c r="V1768" i="11"/>
  <c r="Y1768" i="11" s="1"/>
  <c r="Y1847" i="11"/>
  <c r="V1288" i="11"/>
  <c r="Y1288" i="11" s="1"/>
  <c r="W589" i="11"/>
  <c r="W749" i="11"/>
  <c r="V1769" i="11"/>
  <c r="Y1769" i="11" s="1"/>
  <c r="Y1767" i="11"/>
  <c r="X1767" i="11"/>
  <c r="V1766" i="11"/>
  <c r="X1766" i="11" s="1"/>
  <c r="Y717" i="11"/>
  <c r="W211" i="11"/>
  <c r="W1808" i="11"/>
  <c r="W1844" i="11"/>
  <c r="W1765" i="11"/>
  <c r="V1732" i="11"/>
  <c r="W1732" i="11" s="1"/>
  <c r="V1770" i="11"/>
  <c r="X1770" i="11" s="1"/>
  <c r="W1747" i="11"/>
  <c r="V1580" i="11"/>
  <c r="W1580" i="11" s="1"/>
  <c r="V1368" i="11"/>
  <c r="X1368" i="11" s="1"/>
  <c r="V1371" i="11"/>
  <c r="W1371" i="11" s="1"/>
  <c r="W957" i="11"/>
  <c r="W197" i="11"/>
  <c r="X80" i="11"/>
  <c r="X120" i="11"/>
  <c r="S1788" i="11"/>
  <c r="W814" i="11"/>
  <c r="W782" i="11"/>
  <c r="W658" i="11"/>
  <c r="W912" i="11"/>
  <c r="W1815" i="11"/>
  <c r="W709" i="11"/>
  <c r="Y1088" i="11"/>
  <c r="X1828" i="11"/>
  <c r="W1829" i="11"/>
  <c r="V1721" i="11"/>
  <c r="Y1721" i="11" s="1"/>
  <c r="X1729" i="11"/>
  <c r="Y1765" i="11"/>
  <c r="X1765" i="11"/>
  <c r="V1496" i="11"/>
  <c r="W1496" i="11" s="1"/>
  <c r="V1370" i="11"/>
  <c r="W1370" i="11" s="1"/>
  <c r="W951" i="11"/>
  <c r="Y814" i="11"/>
  <c r="Y782" i="11"/>
  <c r="V1089" i="11"/>
  <c r="X1089" i="11" s="1"/>
  <c r="W835" i="11"/>
  <c r="Y611" i="11"/>
  <c r="X569" i="11"/>
  <c r="V144" i="11"/>
  <c r="W144" i="11" s="1"/>
  <c r="X30" i="11"/>
  <c r="X562" i="11"/>
  <c r="Y134" i="11"/>
  <c r="W84" i="11"/>
  <c r="X20" i="11"/>
  <c r="X114" i="11"/>
  <c r="Y94" i="11"/>
  <c r="W622" i="11"/>
  <c r="V136" i="11"/>
  <c r="X136" i="11" s="1"/>
  <c r="X211" i="11"/>
  <c r="W427" i="11"/>
  <c r="V465" i="11"/>
  <c r="X465" i="11" s="1"/>
  <c r="W363" i="11"/>
  <c r="Y1729" i="11"/>
  <c r="X1477" i="11"/>
  <c r="V1514" i="11"/>
  <c r="X1514" i="11" s="1"/>
  <c r="V1482" i="11"/>
  <c r="W1482" i="11" s="1"/>
  <c r="V1442" i="11"/>
  <c r="W1442" i="11" s="1"/>
  <c r="V1032" i="11"/>
  <c r="W1032" i="11" s="1"/>
  <c r="V1294" i="11"/>
  <c r="X1294" i="11" s="1"/>
  <c r="W1120" i="11"/>
  <c r="Y31" i="11"/>
  <c r="W39" i="11"/>
  <c r="X102" i="11"/>
  <c r="W708" i="11"/>
  <c r="W80" i="11"/>
  <c r="W1579" i="11"/>
  <c r="S885" i="11"/>
  <c r="W1843" i="11"/>
  <c r="Y1798" i="11"/>
  <c r="V1731" i="11"/>
  <c r="W1731" i="11" s="1"/>
  <c r="V1479" i="11"/>
  <c r="X1479" i="11" s="1"/>
  <c r="V1517" i="11"/>
  <c r="X1517" i="11" s="1"/>
  <c r="Y1232" i="11"/>
  <c r="X1375" i="11"/>
  <c r="Y843" i="11"/>
  <c r="X200" i="11"/>
  <c r="X39" i="11"/>
  <c r="X161" i="11"/>
  <c r="W114" i="11"/>
  <c r="V1530" i="11"/>
  <c r="W1530" i="11" s="1"/>
  <c r="W125" i="11"/>
  <c r="V1251" i="11"/>
  <c r="Y1251" i="11" s="1"/>
  <c r="W646" i="11"/>
  <c r="W984" i="11"/>
  <c r="Y984" i="11"/>
  <c r="V1676" i="11"/>
  <c r="X1676" i="11" s="1"/>
  <c r="Y967" i="11"/>
  <c r="X1060" i="11"/>
  <c r="V304" i="11"/>
  <c r="X304" i="11" s="1"/>
  <c r="X787" i="11"/>
  <c r="Y1597" i="11"/>
  <c r="Y1435" i="11"/>
  <c r="V1289" i="11"/>
  <c r="X1289" i="11" s="1"/>
  <c r="V1373" i="11"/>
  <c r="Y1373" i="11" s="1"/>
  <c r="V1229" i="11"/>
  <c r="Y1229" i="11" s="1"/>
  <c r="O1862" i="11"/>
  <c r="W1115" i="11"/>
  <c r="Y957" i="11"/>
  <c r="W1060" i="11"/>
  <c r="V1063" i="11"/>
  <c r="W1063" i="11" s="1"/>
  <c r="V1090" i="11"/>
  <c r="Y1090" i="11" s="1"/>
  <c r="Y688" i="11"/>
  <c r="Y587" i="11"/>
  <c r="X278" i="11"/>
  <c r="Y890" i="11"/>
  <c r="Y478" i="11"/>
  <c r="Y281" i="11"/>
  <c r="Y622" i="11"/>
  <c r="W478" i="11"/>
  <c r="W731" i="11"/>
  <c r="W672" i="11"/>
  <c r="Y1021" i="11"/>
  <c r="Y736" i="11"/>
  <c r="X1305" i="11"/>
  <c r="Y595" i="11"/>
  <c r="X1435" i="11"/>
  <c r="W1824" i="11"/>
  <c r="V1640" i="11"/>
  <c r="W1640" i="11" s="1"/>
  <c r="W1767" i="11"/>
  <c r="X1405" i="11"/>
  <c r="Y1411" i="11"/>
  <c r="Y1112" i="11"/>
  <c r="V1034" i="11"/>
  <c r="W1034" i="11" s="1"/>
  <c r="W1088" i="11"/>
  <c r="V1098" i="11"/>
  <c r="Y1098" i="11" s="1"/>
  <c r="X835" i="11"/>
  <c r="X803" i="11"/>
  <c r="Y1209" i="11"/>
  <c r="X1121" i="11"/>
  <c r="Y672" i="11"/>
  <c r="X890" i="11"/>
  <c r="V503" i="11"/>
  <c r="X503" i="11" s="1"/>
  <c r="X755" i="11"/>
  <c r="T1804" i="11"/>
  <c r="X1804" i="11" s="1"/>
  <c r="W871" i="11"/>
  <c r="S1787" i="11"/>
  <c r="W1021" i="11"/>
  <c r="V1654" i="11"/>
  <c r="X1654" i="11" s="1"/>
  <c r="X1264" i="11"/>
  <c r="Y1264" i="11"/>
  <c r="V1674" i="11"/>
  <c r="V1673" i="11"/>
  <c r="Y1673" i="11" s="1"/>
  <c r="Y1786" i="11"/>
  <c r="X1579" i="11"/>
  <c r="V1614" i="11"/>
  <c r="X1614" i="11" s="1"/>
  <c r="Y1184" i="11"/>
  <c r="V1217" i="11"/>
  <c r="W1217" i="11" s="1"/>
  <c r="V1261" i="11"/>
  <c r="X1261" i="11" s="1"/>
  <c r="V936" i="11"/>
  <c r="Y936" i="11" s="1"/>
  <c r="V1243" i="11"/>
  <c r="W1243" i="11" s="1"/>
  <c r="Y882" i="11"/>
  <c r="X811" i="11"/>
  <c r="W765" i="11"/>
  <c r="X710" i="11"/>
  <c r="Y544" i="11"/>
  <c r="Y546" i="11"/>
  <c r="W1828" i="11"/>
  <c r="V1720" i="11"/>
  <c r="X1720" i="11" s="1"/>
  <c r="V1584" i="11"/>
  <c r="W1584" i="11" s="1"/>
  <c r="V1581" i="11"/>
  <c r="X1581" i="11" s="1"/>
  <c r="V1430" i="11"/>
  <c r="W1430" i="11" s="1"/>
  <c r="W1240" i="11"/>
  <c r="Y1399" i="11"/>
  <c r="X1260" i="11"/>
  <c r="V1215" i="11"/>
  <c r="X1215" i="11" s="1"/>
  <c r="V1210" i="11"/>
  <c r="X1210" i="11" s="1"/>
  <c r="X981" i="11"/>
  <c r="W955" i="11"/>
  <c r="W1024" i="11"/>
  <c r="Y793" i="11"/>
  <c r="Y763" i="11"/>
  <c r="W655" i="11"/>
  <c r="X535" i="11"/>
  <c r="W579" i="11"/>
  <c r="V1583" i="11"/>
  <c r="Y1583" i="11" s="1"/>
  <c r="W462" i="11"/>
  <c r="X922" i="11"/>
  <c r="S873" i="11"/>
  <c r="W620" i="11"/>
  <c r="V1433" i="11"/>
  <c r="X1433" i="11" s="1"/>
  <c r="V1582" i="11"/>
  <c r="X1582" i="11" s="1"/>
  <c r="V1401" i="11"/>
  <c r="Y1401" i="11" s="1"/>
  <c r="X1212" i="11"/>
  <c r="V1183" i="11"/>
  <c r="X1183" i="11" s="1"/>
  <c r="W1212" i="11"/>
  <c r="X1022" i="11"/>
  <c r="Y944" i="11"/>
  <c r="X912" i="11"/>
  <c r="V1241" i="11"/>
  <c r="Y1241" i="11" s="1"/>
  <c r="Y710" i="11"/>
  <c r="V464" i="11"/>
  <c r="X464" i="11" s="1"/>
  <c r="X550" i="11"/>
  <c r="X546" i="11"/>
  <c r="W411" i="11"/>
  <c r="V463" i="11"/>
  <c r="X463" i="11" s="1"/>
  <c r="Y1717" i="11"/>
  <c r="V1434" i="11"/>
  <c r="Y1434" i="11" s="1"/>
  <c r="Y1260" i="11"/>
  <c r="Y1180" i="11"/>
  <c r="W944" i="11"/>
  <c r="X462" i="11"/>
  <c r="W522" i="11"/>
  <c r="W544" i="11"/>
  <c r="X358" i="11"/>
  <c r="T969" i="11"/>
  <c r="Y969" i="11" s="1"/>
  <c r="Y436" i="11"/>
  <c r="X436" i="11"/>
  <c r="W1549" i="11"/>
  <c r="V1278" i="11"/>
  <c r="W1278" i="11" s="1"/>
  <c r="Y1056" i="11"/>
  <c r="W990" i="11"/>
  <c r="Y552" i="11"/>
  <c r="V390" i="11"/>
  <c r="W390" i="11" s="1"/>
  <c r="Y655" i="11"/>
  <c r="X585" i="11"/>
  <c r="W281" i="11"/>
  <c r="V283" i="11"/>
  <c r="Y283" i="11" s="1"/>
  <c r="X117" i="11"/>
  <c r="Y102" i="11"/>
  <c r="W1429" i="11"/>
  <c r="W846" i="11"/>
  <c r="W236" i="11"/>
  <c r="T713" i="11"/>
  <c r="Y713" i="11" s="1"/>
  <c r="W165" i="11"/>
  <c r="W112" i="11"/>
  <c r="T745" i="11"/>
  <c r="X745" i="11" s="1"/>
  <c r="V1690" i="11"/>
  <c r="Y1690" i="11" s="1"/>
  <c r="X938" i="11"/>
  <c r="W552" i="11"/>
  <c r="W137" i="11"/>
  <c r="S961" i="11"/>
  <c r="Y992" i="11"/>
  <c r="Y846" i="11"/>
  <c r="Y1240" i="11"/>
  <c r="X864" i="11"/>
  <c r="X845" i="11"/>
  <c r="Y693" i="11"/>
  <c r="V1077" i="11"/>
  <c r="Y1077" i="11" s="1"/>
  <c r="Y363" i="11"/>
  <c r="Y287" i="11"/>
  <c r="X72" i="11"/>
  <c r="W562" i="11"/>
  <c r="V282" i="11"/>
  <c r="Y282" i="11" s="1"/>
  <c r="Y233" i="11"/>
  <c r="X1057" i="11"/>
  <c r="X638" i="11"/>
  <c r="W585" i="11"/>
  <c r="W489" i="11"/>
  <c r="V251" i="11"/>
  <c r="X251" i="11" s="1"/>
  <c r="Y123" i="11"/>
  <c r="Y137" i="11"/>
  <c r="X33" i="11"/>
  <c r="X222" i="11"/>
  <c r="X236" i="11"/>
  <c r="W94" i="11"/>
  <c r="Y59" i="11"/>
  <c r="T1833" i="11"/>
  <c r="Y1833" i="11" s="1"/>
  <c r="W628" i="11"/>
  <c r="V1307" i="11"/>
  <c r="Y1307" i="11" s="1"/>
  <c r="S1825" i="11"/>
  <c r="T661" i="11"/>
  <c r="X661" i="11" s="1"/>
  <c r="T480" i="11"/>
  <c r="X480" i="11" s="1"/>
  <c r="T229" i="11"/>
  <c r="X229" i="11" s="1"/>
  <c r="W1830" i="11"/>
  <c r="Y1808" i="11"/>
  <c r="W1832" i="11"/>
  <c r="X1824" i="11"/>
  <c r="W1853" i="11"/>
  <c r="V1688" i="11"/>
  <c r="X1688" i="11" s="1"/>
  <c r="V1691" i="11"/>
  <c r="W1691" i="11" s="1"/>
  <c r="V1749" i="11"/>
  <c r="W1749" i="11" s="1"/>
  <c r="V1672" i="11"/>
  <c r="X1672" i="11" s="1"/>
  <c r="V1437" i="11"/>
  <c r="X1437" i="11" s="1"/>
  <c r="V1306" i="11"/>
  <c r="Y1306" i="11" s="1"/>
  <c r="W1277" i="11"/>
  <c r="V1292" i="11"/>
  <c r="Y1292" i="11" s="1"/>
  <c r="Y1060" i="11"/>
  <c r="X1830" i="11"/>
  <c r="X1853" i="11"/>
  <c r="V1756" i="11"/>
  <c r="X1756" i="11" s="1"/>
  <c r="V1733" i="11"/>
  <c r="W1733" i="11" s="1"/>
  <c r="Y1687" i="11"/>
  <c r="X1784" i="11"/>
  <c r="V1623" i="11"/>
  <c r="Y1623" i="11" s="1"/>
  <c r="V1552" i="11"/>
  <c r="X1552" i="11" s="1"/>
  <c r="V1451" i="11"/>
  <c r="W1451" i="11" s="1"/>
  <c r="V1431" i="11"/>
  <c r="Y1431" i="11" s="1"/>
  <c r="V1436" i="11"/>
  <c r="X1436" i="11" s="1"/>
  <c r="W1305" i="11"/>
  <c r="V1309" i="11"/>
  <c r="Y1309" i="11" s="1"/>
  <c r="X1275" i="11"/>
  <c r="X1277" i="11"/>
  <c r="V1123" i="11"/>
  <c r="Y1123" i="11" s="1"/>
  <c r="V1059" i="11"/>
  <c r="W1059" i="11" s="1"/>
  <c r="W1264" i="11"/>
  <c r="W1056" i="11"/>
  <c r="X992" i="11"/>
  <c r="X946" i="11"/>
  <c r="Y871" i="11"/>
  <c r="V1242" i="11"/>
  <c r="W1242" i="11" s="1"/>
  <c r="Y864" i="11"/>
  <c r="W787" i="11"/>
  <c r="V1078" i="11"/>
  <c r="Y1078" i="11" s="1"/>
  <c r="W845" i="11"/>
  <c r="Y656" i="11"/>
  <c r="W40" i="11"/>
  <c r="W549" i="11"/>
  <c r="X189" i="11"/>
  <c r="Y1057" i="11"/>
  <c r="V250" i="11"/>
  <c r="Y250" i="11" s="1"/>
  <c r="W215" i="11"/>
  <c r="X40" i="11"/>
  <c r="W520" i="11"/>
  <c r="W946" i="11"/>
  <c r="V1642" i="11"/>
  <c r="X1642" i="11" s="1"/>
  <c r="V1439" i="11"/>
  <c r="X1439" i="11" s="1"/>
  <c r="X425" i="11"/>
  <c r="W1729" i="11"/>
  <c r="V1432" i="11"/>
  <c r="Y1432" i="11" s="1"/>
  <c r="X195" i="11"/>
  <c r="X442" i="11"/>
  <c r="W442" i="11"/>
  <c r="Y898" i="11"/>
  <c r="W898" i="11"/>
  <c r="Y1000" i="11"/>
  <c r="W1000" i="11"/>
  <c r="X700" i="11"/>
  <c r="Y700" i="11"/>
  <c r="X635" i="11"/>
  <c r="Y635" i="11"/>
  <c r="Y485" i="11"/>
  <c r="X485" i="11"/>
  <c r="Y245" i="11"/>
  <c r="W245" i="11"/>
  <c r="Y203" i="11"/>
  <c r="X203" i="11"/>
  <c r="X880" i="11"/>
  <c r="W880" i="11"/>
  <c r="Y37" i="11"/>
  <c r="X37" i="11"/>
  <c r="V1702" i="11"/>
  <c r="X1702" i="11" s="1"/>
  <c r="V1704" i="11"/>
  <c r="Y1704" i="11" s="1"/>
  <c r="X1699" i="11"/>
  <c r="S953" i="11"/>
  <c r="T953" i="11"/>
  <c r="W953" i="11" s="1"/>
  <c r="S877" i="11"/>
  <c r="T877" i="11"/>
  <c r="W877" i="11" s="1"/>
  <c r="X789" i="11"/>
  <c r="W789" i="11"/>
  <c r="X106" i="11"/>
  <c r="Y106" i="11"/>
  <c r="W106" i="11"/>
  <c r="X1200" i="11"/>
  <c r="V1202" i="11"/>
  <c r="X1202" i="11" s="1"/>
  <c r="V1201" i="11"/>
  <c r="Y1201" i="11" s="1"/>
  <c r="V1203" i="11"/>
  <c r="Y1203" i="11" s="1"/>
  <c r="Y48" i="11"/>
  <c r="W48" i="11"/>
  <c r="X48" i="11"/>
  <c r="V1199" i="11"/>
  <c r="Y1199" i="11" s="1"/>
  <c r="W1196" i="11"/>
  <c r="V1001" i="11"/>
  <c r="Y1001" i="11" s="1"/>
  <c r="X774" i="11"/>
  <c r="Y774" i="11"/>
  <c r="X73" i="11"/>
  <c r="W73" i="11"/>
  <c r="W1837" i="11"/>
  <c r="X1837" i="11"/>
  <c r="V1678" i="11"/>
  <c r="W1675" i="11"/>
  <c r="V1679" i="11"/>
  <c r="W1679" i="11" s="1"/>
  <c r="W1597" i="11"/>
  <c r="V1599" i="11"/>
  <c r="Y1599" i="11" s="1"/>
  <c r="X1519" i="11"/>
  <c r="V1522" i="11"/>
  <c r="X1522" i="11" s="1"/>
  <c r="Y1519" i="11"/>
  <c r="V1297" i="11"/>
  <c r="X1295" i="11"/>
  <c r="Y1295" i="11"/>
  <c r="V1086" i="11"/>
  <c r="X1086" i="11" s="1"/>
  <c r="W1084" i="11"/>
  <c r="V1030" i="11"/>
  <c r="X1030" i="11" s="1"/>
  <c r="X1028" i="11"/>
  <c r="X781" i="11"/>
  <c r="Y781" i="11"/>
  <c r="Y111" i="11"/>
  <c r="X111" i="11"/>
  <c r="Y79" i="11"/>
  <c r="X79" i="11"/>
  <c r="W79" i="11"/>
  <c r="W591" i="11"/>
  <c r="V594" i="11"/>
  <c r="X594" i="11" s="1"/>
  <c r="V396" i="11"/>
  <c r="W396" i="11" s="1"/>
  <c r="X394" i="11"/>
  <c r="V1487" i="11"/>
  <c r="W1487" i="11" s="1"/>
  <c r="V1488" i="11"/>
  <c r="W1488" i="11" s="1"/>
  <c r="W1483" i="11"/>
  <c r="Y1002" i="11"/>
  <c r="X1002" i="11"/>
  <c r="X747" i="11"/>
  <c r="Y747" i="11"/>
  <c r="V500" i="11"/>
  <c r="Y500" i="11" s="1"/>
  <c r="X497" i="11"/>
  <c r="V498" i="11"/>
  <c r="X498" i="11" s="1"/>
  <c r="Y399" i="11"/>
  <c r="V401" i="11"/>
  <c r="Y401" i="11" s="1"/>
  <c r="X399" i="11"/>
  <c r="W399" i="11"/>
  <c r="V402" i="11"/>
  <c r="Y402" i="11" s="1"/>
  <c r="V150" i="11"/>
  <c r="W149" i="11"/>
  <c r="V151" i="11"/>
  <c r="X151" i="11" s="1"/>
  <c r="X149" i="11"/>
  <c r="X115" i="11"/>
  <c r="Y115" i="11"/>
  <c r="W115" i="11"/>
  <c r="W72" i="11"/>
  <c r="V1630" i="11"/>
  <c r="V1629" i="11"/>
  <c r="Y1629" i="11" s="1"/>
  <c r="V1632" i="11"/>
  <c r="Y1632" i="11" s="1"/>
  <c r="X1627" i="11"/>
  <c r="V1523" i="11"/>
  <c r="X1523" i="11" s="1"/>
  <c r="Y1196" i="11"/>
  <c r="V1087" i="11"/>
  <c r="Y1087" i="11" s="1"/>
  <c r="X744" i="11"/>
  <c r="W843" i="11"/>
  <c r="W781" i="11"/>
  <c r="X293" i="11"/>
  <c r="V499" i="11"/>
  <c r="W499" i="11" s="1"/>
  <c r="V1226" i="11"/>
  <c r="X1226" i="11" s="1"/>
  <c r="W1224" i="11"/>
  <c r="W1315" i="11"/>
  <c r="V1317" i="11"/>
  <c r="Y1317" i="11" s="1"/>
  <c r="V1319" i="11"/>
  <c r="Y1319" i="11" s="1"/>
  <c r="Y483" i="11"/>
  <c r="X483" i="11"/>
  <c r="W1200" i="11"/>
  <c r="W681" i="11"/>
  <c r="X681" i="11"/>
  <c r="W663" i="11"/>
  <c r="Y663" i="11"/>
  <c r="W554" i="11"/>
  <c r="X554" i="11"/>
  <c r="V504" i="11"/>
  <c r="W504" i="11" s="1"/>
  <c r="Y502" i="11"/>
  <c r="W502" i="11"/>
  <c r="X502" i="11"/>
  <c r="V505" i="11"/>
  <c r="W505" i="11" s="1"/>
  <c r="W923" i="11"/>
  <c r="Y923" i="11"/>
  <c r="V1105" i="11"/>
  <c r="X1105" i="11" s="1"/>
  <c r="X1104" i="11"/>
  <c r="Y941" i="11"/>
  <c r="X941" i="11"/>
  <c r="T697" i="11"/>
  <c r="Y697" i="11" s="1"/>
  <c r="V1314" i="11"/>
  <c r="W1314" i="11" s="1"/>
  <c r="V1313" i="11"/>
  <c r="W1313" i="11" s="1"/>
  <c r="W715" i="11"/>
  <c r="X715" i="11"/>
  <c r="X943" i="11"/>
  <c r="Y943" i="11"/>
  <c r="Y1627" i="11"/>
  <c r="V1544" i="11"/>
  <c r="X1544" i="11" s="1"/>
  <c r="V1311" i="11"/>
  <c r="Y1311" i="11" s="1"/>
  <c r="Y603" i="11"/>
  <c r="W293" i="11"/>
  <c r="Y554" i="11"/>
  <c r="Y149" i="11"/>
  <c r="W1807" i="11"/>
  <c r="X1807" i="11"/>
  <c r="Y691" i="11"/>
  <c r="X691" i="11"/>
  <c r="X863" i="11"/>
  <c r="Y863" i="11"/>
  <c r="X245" i="11"/>
  <c r="W394" i="11"/>
  <c r="V1500" i="11"/>
  <c r="W1500" i="11" s="1"/>
  <c r="V1497" i="11"/>
  <c r="X1497" i="11" s="1"/>
  <c r="X1016" i="11"/>
  <c r="Y1016" i="11"/>
  <c r="W725" i="11"/>
  <c r="X725" i="11"/>
  <c r="X624" i="11"/>
  <c r="Y624" i="11"/>
  <c r="X565" i="11"/>
  <c r="W565" i="11"/>
  <c r="Y1782" i="11"/>
  <c r="X1782" i="11"/>
  <c r="W1782" i="11"/>
  <c r="Y1216" i="11"/>
  <c r="V1218" i="11"/>
  <c r="W1218" i="11" s="1"/>
  <c r="X833" i="11"/>
  <c r="W833" i="11"/>
  <c r="Y833" i="11"/>
  <c r="X758" i="11"/>
  <c r="Y758" i="11"/>
  <c r="W758" i="11"/>
  <c r="W493" i="11"/>
  <c r="Y493" i="11"/>
  <c r="V496" i="11"/>
  <c r="X496" i="11" s="1"/>
  <c r="X493" i="11"/>
  <c r="V495" i="11"/>
  <c r="W495" i="11" s="1"/>
  <c r="V494" i="11"/>
  <c r="W494" i="11" s="1"/>
  <c r="S1789" i="11"/>
  <c r="T1789" i="11"/>
  <c r="Y1789" i="11" s="1"/>
  <c r="T553" i="11"/>
  <c r="W553" i="11" s="1"/>
  <c r="S1793" i="11"/>
  <c r="T1793" i="11"/>
  <c r="W1793" i="11" s="1"/>
  <c r="W1817" i="11"/>
  <c r="X545" i="11"/>
  <c r="W545" i="11"/>
  <c r="X1399" i="11"/>
  <c r="V1402" i="11"/>
  <c r="W1402" i="11" s="1"/>
  <c r="V1403" i="11"/>
  <c r="W1403" i="11" s="1"/>
  <c r="V1404" i="11"/>
  <c r="W1404" i="11" s="1"/>
  <c r="V1286" i="11"/>
  <c r="X1286" i="11" s="1"/>
  <c r="V1287" i="11"/>
  <c r="X1287" i="11" s="1"/>
  <c r="X1285" i="11"/>
  <c r="W1285" i="11"/>
  <c r="X1369" i="11"/>
  <c r="V1374" i="11"/>
  <c r="X1374" i="11" s="1"/>
  <c r="V1372" i="11"/>
  <c r="W1372" i="11" s="1"/>
  <c r="W1369" i="11"/>
  <c r="Y1818" i="11"/>
  <c r="V1718" i="11"/>
  <c r="Y1718" i="11" s="1"/>
  <c r="V1722" i="11"/>
  <c r="W1722" i="11" s="1"/>
  <c r="V1774" i="11"/>
  <c r="X1774" i="11" s="1"/>
  <c r="V1757" i="11"/>
  <c r="X1757" i="11" s="1"/>
  <c r="V1643" i="11"/>
  <c r="W1643" i="11" s="1"/>
  <c r="X1794" i="11"/>
  <c r="V1670" i="11"/>
  <c r="X1670" i="11" s="1"/>
  <c r="V1350" i="11"/>
  <c r="X1350" i="11" s="1"/>
  <c r="W1160" i="11"/>
  <c r="W1280" i="11"/>
  <c r="V1181" i="11"/>
  <c r="Y1181" i="11" s="1"/>
  <c r="Y1148" i="11"/>
  <c r="Y1300" i="11"/>
  <c r="V1282" i="11"/>
  <c r="X1282" i="11" s="1"/>
  <c r="Y996" i="11"/>
  <c r="Y959" i="11"/>
  <c r="V1145" i="11"/>
  <c r="Y1145" i="11" s="1"/>
  <c r="W971" i="11"/>
  <c r="X739" i="11"/>
  <c r="Y811" i="11"/>
  <c r="X693" i="11"/>
  <c r="X990" i="11"/>
  <c r="Y489" i="11"/>
  <c r="W117" i="11"/>
  <c r="V308" i="11"/>
  <c r="W308" i="11" s="1"/>
  <c r="X28" i="11"/>
  <c r="Y161" i="11"/>
  <c r="W939" i="11"/>
  <c r="W439" i="11"/>
  <c r="W120" i="11"/>
  <c r="W1818" i="11"/>
  <c r="W1184" i="11"/>
  <c r="W680" i="11"/>
  <c r="Y987" i="11"/>
  <c r="W613" i="11"/>
  <c r="W123" i="11"/>
  <c r="W1812" i="11"/>
  <c r="W1792" i="11"/>
  <c r="V1719" i="11"/>
  <c r="X1719" i="11" s="1"/>
  <c r="X1717" i="11"/>
  <c r="X1817" i="11"/>
  <c r="V1671" i="11"/>
  <c r="Y1671" i="11" s="1"/>
  <c r="V1571" i="11"/>
  <c r="X1571" i="11" s="1"/>
  <c r="V1440" i="11"/>
  <c r="X1440" i="11" s="1"/>
  <c r="X1447" i="11"/>
  <c r="X1429" i="11"/>
  <c r="V1418" i="11"/>
  <c r="W1418" i="11" s="1"/>
  <c r="V1397" i="11"/>
  <c r="W1397" i="11" s="1"/>
  <c r="Y1248" i="11"/>
  <c r="W1270" i="11"/>
  <c r="V1182" i="11"/>
  <c r="Y1182" i="11" s="1"/>
  <c r="V1023" i="11"/>
  <c r="W1023" i="11" s="1"/>
  <c r="V1097" i="11"/>
  <c r="Y1097" i="11" s="1"/>
  <c r="X959" i="11"/>
  <c r="W777" i="11"/>
  <c r="W988" i="11"/>
  <c r="X832" i="11"/>
  <c r="Y1290" i="11"/>
  <c r="Y750" i="11"/>
  <c r="X1099" i="11"/>
  <c r="W683" i="11"/>
  <c r="W648" i="11"/>
  <c r="W797" i="11"/>
  <c r="Y757" i="11"/>
  <c r="X689" i="11"/>
  <c r="Y371" i="11"/>
  <c r="X125" i="11"/>
  <c r="W33" i="11"/>
  <c r="Y723" i="11"/>
  <c r="W244" i="11"/>
  <c r="T519" i="11"/>
  <c r="W519" i="11" s="1"/>
  <c r="Y249" i="11"/>
  <c r="T243" i="11"/>
  <c r="Y243" i="11" s="1"/>
  <c r="Y199" i="11"/>
  <c r="Y112" i="11"/>
  <c r="X50" i="11"/>
  <c r="Y84" i="11"/>
  <c r="Y809" i="11"/>
  <c r="W289" i="11"/>
  <c r="X59" i="11"/>
  <c r="W1020" i="11"/>
  <c r="S981" i="11"/>
  <c r="W656" i="11"/>
  <c r="W425" i="11"/>
  <c r="W20" i="11"/>
  <c r="V1438" i="11"/>
  <c r="X1438" i="11" s="1"/>
  <c r="X987" i="11"/>
  <c r="Y613" i="11"/>
  <c r="W50" i="11"/>
  <c r="W419" i="11"/>
  <c r="W58" i="11"/>
  <c r="X916" i="11"/>
  <c r="Y916" i="11"/>
  <c r="W67" i="11"/>
  <c r="X67" i="11"/>
  <c r="Y67" i="11"/>
  <c r="W642" i="11"/>
  <c r="X642" i="11"/>
  <c r="X92" i="11"/>
  <c r="Y92" i="11"/>
  <c r="X798" i="11"/>
  <c r="W798" i="11"/>
  <c r="X753" i="11"/>
  <c r="Y753" i="11"/>
  <c r="Y896" i="11"/>
  <c r="X896" i="11"/>
  <c r="Y118" i="11"/>
  <c r="W118" i="11"/>
  <c r="X118" i="11"/>
  <c r="Y35" i="11"/>
  <c r="W35" i="11"/>
  <c r="X35" i="11"/>
  <c r="X130" i="11"/>
  <c r="W130" i="11"/>
  <c r="X403" i="11"/>
  <c r="W403" i="11"/>
  <c r="Y372" i="11"/>
  <c r="X372" i="11"/>
  <c r="Y364" i="11"/>
  <c r="W364" i="11"/>
  <c r="V1463" i="11"/>
  <c r="X1463" i="11" s="1"/>
  <c r="V1460" i="11"/>
  <c r="W1460" i="11" s="1"/>
  <c r="V1332" i="11"/>
  <c r="W1332" i="11" s="1"/>
  <c r="V1330" i="11"/>
  <c r="Y1330" i="11" s="1"/>
  <c r="W1327" i="11"/>
  <c r="S881" i="11"/>
  <c r="T881" i="11"/>
  <c r="W881" i="11" s="1"/>
  <c r="S865" i="11"/>
  <c r="T865" i="11"/>
  <c r="Y865" i="11" s="1"/>
  <c r="T1796" i="11"/>
  <c r="W1796" i="11" s="1"/>
  <c r="S1796" i="11"/>
  <c r="W471" i="11"/>
  <c r="Y471" i="11"/>
  <c r="V1457" i="11"/>
  <c r="X1457" i="11" s="1"/>
  <c r="V1454" i="11"/>
  <c r="X1454" i="11" s="1"/>
  <c r="Y1453" i="11"/>
  <c r="V306" i="11"/>
  <c r="W306" i="11" s="1"/>
  <c r="X303" i="11"/>
  <c r="W482" i="11"/>
  <c r="W486" i="11"/>
  <c r="Y32" i="11"/>
  <c r="W32" i="11"/>
  <c r="T965" i="11"/>
  <c r="X965" i="11" s="1"/>
  <c r="S965" i="11"/>
  <c r="V598" i="11"/>
  <c r="Y598" i="11" s="1"/>
  <c r="V596" i="11"/>
  <c r="W596" i="11" s="1"/>
  <c r="T453" i="11"/>
  <c r="W453" i="11" s="1"/>
  <c r="Y240" i="11"/>
  <c r="W240" i="11"/>
  <c r="X1843" i="11"/>
  <c r="V1750" i="11"/>
  <c r="X1750" i="11" s="1"/>
  <c r="Y1675" i="11"/>
  <c r="V1598" i="11"/>
  <c r="Y1598" i="11" s="1"/>
  <c r="V1602" i="11"/>
  <c r="X1602" i="11" s="1"/>
  <c r="X1453" i="11"/>
  <c r="V1446" i="11"/>
  <c r="Y1446" i="11" s="1"/>
  <c r="W1411" i="11"/>
  <c r="W1256" i="11"/>
  <c r="V1296" i="11"/>
  <c r="Y1296" i="11" s="1"/>
  <c r="V1185" i="11"/>
  <c r="Y1185" i="11" s="1"/>
  <c r="Y1310" i="11"/>
  <c r="V1231" i="11"/>
  <c r="Y1231" i="11" s="1"/>
  <c r="W1140" i="11"/>
  <c r="V1412" i="11"/>
  <c r="Y1412" i="11" s="1"/>
  <c r="X1031" i="11"/>
  <c r="V1085" i="11"/>
  <c r="W1085" i="11" s="1"/>
  <c r="Y1084" i="11"/>
  <c r="V1258" i="11"/>
  <c r="Y1258" i="11" s="1"/>
  <c r="Y948" i="11"/>
  <c r="W996" i="11"/>
  <c r="Y854" i="11"/>
  <c r="Y742" i="11"/>
  <c r="V1129" i="11"/>
  <c r="W1129" i="11" s="1"/>
  <c r="X771" i="11"/>
  <c r="X701" i="11"/>
  <c r="W771" i="11"/>
  <c r="Y692" i="11"/>
  <c r="W556" i="11"/>
  <c r="V319" i="11"/>
  <c r="X319" i="11" s="1"/>
  <c r="X534" i="11"/>
  <c r="V305" i="11"/>
  <c r="W305" i="11" s="1"/>
  <c r="Y1140" i="11"/>
  <c r="W595" i="11"/>
  <c r="W647" i="11"/>
  <c r="V597" i="11"/>
  <c r="Y597" i="11" s="1"/>
  <c r="X95" i="11"/>
  <c r="W1022" i="11"/>
  <c r="W930" i="11"/>
  <c r="W1453" i="11"/>
  <c r="W942" i="11"/>
  <c r="W692" i="11"/>
  <c r="W580" i="11"/>
  <c r="Y580" i="11"/>
  <c r="W92" i="11"/>
  <c r="V1546" i="11"/>
  <c r="X1546" i="11" s="1"/>
  <c r="V1456" i="11"/>
  <c r="W1456" i="11" s="1"/>
  <c r="Y1022" i="11"/>
  <c r="Y998" i="11"/>
  <c r="W998" i="11"/>
  <c r="X634" i="11"/>
  <c r="Y634" i="11"/>
  <c r="V1186" i="11"/>
  <c r="T645" i="11"/>
  <c r="X627" i="11"/>
  <c r="W627" i="11"/>
  <c r="Y991" i="11"/>
  <c r="W991" i="11"/>
  <c r="W578" i="11"/>
  <c r="Y578" i="11"/>
  <c r="X116" i="11"/>
  <c r="W116" i="11"/>
  <c r="S1785" i="11"/>
  <c r="T1785" i="11"/>
  <c r="Y1785" i="11" s="1"/>
  <c r="T1801" i="11"/>
  <c r="Y1801" i="11" s="1"/>
  <c r="S1801" i="11"/>
  <c r="X875" i="11"/>
  <c r="W875" i="11"/>
  <c r="V163" i="11"/>
  <c r="W163" i="11" s="1"/>
  <c r="W161" i="11"/>
  <c r="W95" i="11"/>
  <c r="X64" i="11"/>
  <c r="Y64" i="11"/>
  <c r="Y66" i="11"/>
  <c r="W66" i="11"/>
  <c r="W677" i="11"/>
  <c r="Y677" i="11"/>
  <c r="Y534" i="11"/>
  <c r="V1141" i="11"/>
  <c r="Y1141" i="11" s="1"/>
  <c r="Y38" i="11"/>
  <c r="W666" i="11"/>
  <c r="W742" i="11"/>
  <c r="W1489" i="11"/>
  <c r="V1524" i="11"/>
  <c r="W1519" i="11"/>
  <c r="Y1031" i="11"/>
  <c r="V1033" i="11"/>
  <c r="Y1033" i="11" s="1"/>
  <c r="X143" i="11"/>
  <c r="W143" i="11"/>
  <c r="W636" i="11"/>
  <c r="Y636" i="11"/>
  <c r="W1791" i="11"/>
  <c r="X1791" i="11"/>
  <c r="Y1791" i="11"/>
  <c r="V1235" i="11"/>
  <c r="V1234" i="11"/>
  <c r="W1234" i="11" s="1"/>
  <c r="W1232" i="11"/>
  <c r="W921" i="11"/>
  <c r="X921" i="11"/>
  <c r="W854" i="11"/>
  <c r="X1810" i="11"/>
  <c r="V1680" i="11"/>
  <c r="W1680" i="11" s="1"/>
  <c r="V1751" i="11"/>
  <c r="W1751" i="11" s="1"/>
  <c r="X1675" i="11"/>
  <c r="V1601" i="11"/>
  <c r="W1601" i="11" s="1"/>
  <c r="V1600" i="11"/>
  <c r="Y1600" i="11" s="1"/>
  <c r="V1520" i="11"/>
  <c r="Y1520" i="11" s="1"/>
  <c r="V1521" i="11"/>
  <c r="X1521" i="11" s="1"/>
  <c r="V1455" i="11"/>
  <c r="W1455" i="11" s="1"/>
  <c r="V1445" i="11"/>
  <c r="X1445" i="11" s="1"/>
  <c r="V1299" i="11"/>
  <c r="Y1299" i="11" s="1"/>
  <c r="V1298" i="11"/>
  <c r="Y1298" i="11" s="1"/>
  <c r="V1233" i="11"/>
  <c r="Y1233" i="11" s="1"/>
  <c r="X1184" i="11"/>
  <c r="X1310" i="11"/>
  <c r="V1413" i="11"/>
  <c r="Y1413" i="11" s="1"/>
  <c r="Y1024" i="11"/>
  <c r="W691" i="11"/>
  <c r="X608" i="11"/>
  <c r="Y303" i="11"/>
  <c r="Y202" i="11"/>
  <c r="Y647" i="11"/>
  <c r="X556" i="11"/>
  <c r="Y541" i="11"/>
  <c r="Y638" i="11"/>
  <c r="W608" i="11"/>
  <c r="W689" i="11"/>
  <c r="X60" i="11"/>
  <c r="Y60" i="11"/>
  <c r="W52" i="11"/>
  <c r="X52" i="11"/>
  <c r="V1458" i="11"/>
  <c r="Y1458" i="11" s="1"/>
  <c r="Y930" i="11"/>
  <c r="Y942" i="11"/>
  <c r="Y194" i="11"/>
  <c r="X194" i="11"/>
  <c r="X571" i="11"/>
  <c r="W571" i="11"/>
  <c r="X555" i="11"/>
  <c r="W555" i="11"/>
  <c r="T537" i="11"/>
  <c r="Y374" i="11"/>
  <c r="X374" i="11"/>
  <c r="Y356" i="11"/>
  <c r="X356" i="11"/>
  <c r="X213" i="11"/>
  <c r="W213" i="11"/>
  <c r="Y213" i="11"/>
  <c r="W192" i="11"/>
  <c r="X192" i="11"/>
  <c r="V501" i="11"/>
  <c r="W501" i="11" s="1"/>
  <c r="Y497" i="11"/>
  <c r="V294" i="11"/>
  <c r="Y294" i="11" s="1"/>
  <c r="Y293" i="11"/>
  <c r="X219" i="11"/>
  <c r="Y219" i="11"/>
  <c r="W219" i="11"/>
  <c r="Y56" i="11"/>
  <c r="W56" i="11"/>
  <c r="X830" i="11"/>
  <c r="W830" i="11"/>
  <c r="Y404" i="11"/>
  <c r="V406" i="11"/>
  <c r="W406" i="11" s="1"/>
  <c r="V1219" i="11"/>
  <c r="W1216" i="11"/>
  <c r="W832" i="11"/>
  <c r="X548" i="11"/>
  <c r="Y244" i="11"/>
  <c r="W1495" i="11"/>
  <c r="W773" i="11"/>
  <c r="V1480" i="11"/>
  <c r="Y1480" i="11" s="1"/>
  <c r="Y411" i="11"/>
  <c r="Y1483" i="11"/>
  <c r="S421" i="11"/>
  <c r="T857" i="11"/>
  <c r="X857" i="11" s="1"/>
  <c r="W603" i="11"/>
  <c r="W1741" i="11"/>
  <c r="X1741" i="11"/>
  <c r="V1743" i="11"/>
  <c r="Y1743" i="11" s="1"/>
  <c r="V446" i="11"/>
  <c r="W446" i="11" s="1"/>
  <c r="W443" i="11"/>
  <c r="X443" i="11"/>
  <c r="V444" i="11"/>
  <c r="Y444" i="11" s="1"/>
  <c r="V445" i="11"/>
  <c r="Y443" i="11"/>
  <c r="V1712" i="11"/>
  <c r="X1712" i="11" s="1"/>
  <c r="X1711" i="11"/>
  <c r="V1715" i="11"/>
  <c r="Y1711" i="11"/>
  <c r="W1711" i="11"/>
  <c r="V1714" i="11"/>
  <c r="W1714" i="11" s="1"/>
  <c r="V1716" i="11"/>
  <c r="X1716" i="11" s="1"/>
  <c r="V1713" i="11"/>
  <c r="W1713" i="11" s="1"/>
  <c r="W1478" i="11"/>
  <c r="Y1478" i="11"/>
  <c r="X476" i="11"/>
  <c r="Y476" i="11"/>
  <c r="W476" i="11"/>
  <c r="X1811" i="11"/>
  <c r="W1811" i="11"/>
  <c r="Y1811" i="11"/>
  <c r="Y1841" i="11"/>
  <c r="X1841" i="11"/>
  <c r="W1841" i="11"/>
  <c r="X769" i="11"/>
  <c r="W769" i="11"/>
  <c r="Y769" i="11"/>
  <c r="X473" i="11"/>
  <c r="Y473" i="11"/>
  <c r="W473" i="11"/>
  <c r="X421" i="11"/>
  <c r="Y421" i="11"/>
  <c r="W421" i="11"/>
  <c r="X995" i="11"/>
  <c r="W995" i="11"/>
  <c r="Y995" i="11"/>
  <c r="V1473" i="11"/>
  <c r="W1473" i="11" s="1"/>
  <c r="V1475" i="11"/>
  <c r="W1471" i="11"/>
  <c r="V1476" i="11"/>
  <c r="W1476" i="11" s="1"/>
  <c r="X1471" i="11"/>
  <c r="V1474" i="11"/>
  <c r="Y1474" i="11" s="1"/>
  <c r="Y1471" i="11"/>
  <c r="V1472" i="11"/>
  <c r="Y1795" i="11"/>
  <c r="X1795" i="11"/>
  <c r="W1795" i="11"/>
  <c r="V1695" i="11"/>
  <c r="W1695" i="11" s="1"/>
  <c r="V1696" i="11"/>
  <c r="Y1696" i="11" s="1"/>
  <c r="Y869" i="11"/>
  <c r="X869" i="11"/>
  <c r="W869" i="11"/>
  <c r="W837" i="11"/>
  <c r="Y837" i="11"/>
  <c r="X837" i="11"/>
  <c r="W1846" i="11"/>
  <c r="X1800" i="11"/>
  <c r="Y1771" i="11"/>
  <c r="V1701" i="11"/>
  <c r="W1701" i="11" s="1"/>
  <c r="Y1639" i="11"/>
  <c r="X1788" i="11"/>
  <c r="V1652" i="11"/>
  <c r="W1652" i="11" s="1"/>
  <c r="V1491" i="11"/>
  <c r="X1491" i="11" s="1"/>
  <c r="V1461" i="11"/>
  <c r="W1461" i="11" s="1"/>
  <c r="Y1405" i="11"/>
  <c r="V1407" i="11"/>
  <c r="Y1407" i="11" s="1"/>
  <c r="W1144" i="11"/>
  <c r="Y1187" i="11"/>
  <c r="X1280" i="11"/>
  <c r="V1153" i="11"/>
  <c r="Y1153" i="11" s="1"/>
  <c r="Y971" i="11"/>
  <c r="X967" i="11"/>
  <c r="V1259" i="11"/>
  <c r="X1259" i="11" s="1"/>
  <c r="V1146" i="11"/>
  <c r="X1146" i="11" s="1"/>
  <c r="X888" i="11"/>
  <c r="X784" i="11"/>
  <c r="X1096" i="11"/>
  <c r="W885" i="11"/>
  <c r="Y739" i="11"/>
  <c r="W667" i="11"/>
  <c r="Y725" i="11"/>
  <c r="Y685" i="11"/>
  <c r="X805" i="11"/>
  <c r="Y704" i="11"/>
  <c r="T528" i="11"/>
  <c r="X528" i="11" s="1"/>
  <c r="V491" i="11"/>
  <c r="W491" i="11" s="1"/>
  <c r="V490" i="11"/>
  <c r="W490" i="11" s="1"/>
  <c r="W586" i="11"/>
  <c r="X259" i="11"/>
  <c r="Y921" i="11"/>
  <c r="T673" i="11"/>
  <c r="W673" i="11" s="1"/>
  <c r="Y667" i="11"/>
  <c r="X644" i="11"/>
  <c r="X1000" i="11"/>
  <c r="S1841" i="11"/>
  <c r="W1459" i="11"/>
  <c r="Y1783" i="11"/>
  <c r="V1703" i="11"/>
  <c r="X1703" i="11" s="1"/>
  <c r="W896" i="11"/>
  <c r="W931" i="11"/>
  <c r="W550" i="11"/>
  <c r="W483" i="11"/>
  <c r="V1644" i="11"/>
  <c r="W644" i="11"/>
  <c r="Y482" i="11"/>
  <c r="V1462" i="11"/>
  <c r="Y290" i="11"/>
  <c r="T973" i="11"/>
  <c r="T1797" i="11"/>
  <c r="W1850" i="11"/>
  <c r="X1812" i="11"/>
  <c r="Y1800" i="11"/>
  <c r="W1814" i="11"/>
  <c r="W1788" i="11"/>
  <c r="X1815" i="11"/>
  <c r="V1772" i="11"/>
  <c r="Y1772" i="11" s="1"/>
  <c r="W1839" i="11"/>
  <c r="Y1699" i="11"/>
  <c r="X1639" i="11"/>
  <c r="W1849" i="11"/>
  <c r="Y1823" i="11"/>
  <c r="X1792" i="11"/>
  <c r="Y1784" i="11"/>
  <c r="V1653" i="11"/>
  <c r="Y1653" i="11" s="1"/>
  <c r="Y1669" i="11"/>
  <c r="X1645" i="11"/>
  <c r="W1633" i="11"/>
  <c r="Y1543" i="11"/>
  <c r="V1499" i="11"/>
  <c r="W1499" i="11" s="1"/>
  <c r="X1483" i="11"/>
  <c r="V1498" i="11"/>
  <c r="X1498" i="11" s="1"/>
  <c r="V1406" i="11"/>
  <c r="Y1406" i="11" s="1"/>
  <c r="V1329" i="11"/>
  <c r="W1329" i="11" s="1"/>
  <c r="V1396" i="11"/>
  <c r="Y1396" i="11" s="1"/>
  <c r="V1398" i="11"/>
  <c r="X1398" i="11" s="1"/>
  <c r="W1136" i="11"/>
  <c r="V1249" i="11"/>
  <c r="X1249" i="11" s="1"/>
  <c r="Y1270" i="11"/>
  <c r="V1149" i="11"/>
  <c r="W1149" i="11" s="1"/>
  <c r="V1114" i="11"/>
  <c r="Y1114" i="11" s="1"/>
  <c r="X1120" i="11"/>
  <c r="Y1115" i="11"/>
  <c r="V1106" i="11"/>
  <c r="X1106" i="11" s="1"/>
  <c r="W1076" i="11"/>
  <c r="Y975" i="11"/>
  <c r="X961" i="11"/>
  <c r="X928" i="11"/>
  <c r="X1256" i="11"/>
  <c r="Y1144" i="11"/>
  <c r="V918" i="11"/>
  <c r="X918" i="11" s="1"/>
  <c r="X824" i="11"/>
  <c r="W1002" i="11"/>
  <c r="W975" i="11"/>
  <c r="V901" i="11"/>
  <c r="X901" i="11" s="1"/>
  <c r="X862" i="11"/>
  <c r="W581" i="11"/>
  <c r="Y988" i="11"/>
  <c r="W723" i="11"/>
  <c r="Y705" i="11"/>
  <c r="X666" i="11"/>
  <c r="Y1121" i="11"/>
  <c r="Y1076" i="11"/>
  <c r="W862" i="11"/>
  <c r="Y805" i="11"/>
  <c r="Y571" i="11"/>
  <c r="X539" i="11"/>
  <c r="X489" i="11"/>
  <c r="W485" i="11"/>
  <c r="Y367" i="11"/>
  <c r="Y357" i="11"/>
  <c r="X602" i="11"/>
  <c r="V1142" i="11"/>
  <c r="X1142" i="11" s="1"/>
  <c r="Y851" i="11"/>
  <c r="X630" i="11"/>
  <c r="V271" i="11"/>
  <c r="Y271" i="11" s="1"/>
  <c r="W379" i="11"/>
  <c r="Y440" i="11"/>
  <c r="V1257" i="11"/>
  <c r="W922" i="11"/>
  <c r="V1493" i="11"/>
  <c r="W1493" i="11" s="1"/>
  <c r="W883" i="11"/>
  <c r="S869" i="11"/>
  <c r="W705" i="11"/>
  <c r="W684" i="11"/>
  <c r="Y427" i="11"/>
  <c r="W624" i="11"/>
  <c r="W393" i="11"/>
  <c r="W278" i="11"/>
  <c r="Y1020" i="11"/>
  <c r="W704" i="11"/>
  <c r="Y620" i="11"/>
  <c r="T605" i="11"/>
  <c r="Y605" i="11" s="1"/>
  <c r="X636" i="11"/>
  <c r="Y589" i="11"/>
  <c r="Y439" i="11"/>
  <c r="Y419" i="11"/>
  <c r="V1486" i="11"/>
  <c r="X1486" i="11" s="1"/>
  <c r="Y545" i="11"/>
  <c r="V1484" i="11"/>
  <c r="Y1459" i="11"/>
  <c r="Y1327" i="11"/>
  <c r="V1250" i="11"/>
  <c r="Y581" i="11"/>
  <c r="Y393" i="11"/>
  <c r="Y931" i="11"/>
  <c r="W1018" i="11"/>
  <c r="W744" i="11"/>
  <c r="X1018" i="11"/>
  <c r="T1805" i="11"/>
  <c r="X1805" i="11" s="1"/>
  <c r="T1779" i="11"/>
  <c r="T977" i="11"/>
  <c r="S1795" i="11"/>
  <c r="X1850" i="11"/>
  <c r="W1786" i="11"/>
  <c r="W1840" i="11"/>
  <c r="W1810" i="11"/>
  <c r="X1821" i="11"/>
  <c r="W1798" i="11"/>
  <c r="V1776" i="11"/>
  <c r="Y1776" i="11" s="1"/>
  <c r="W1699" i="11"/>
  <c r="Y1837" i="11"/>
  <c r="V1773" i="11"/>
  <c r="W1773" i="11" s="1"/>
  <c r="V1730" i="11"/>
  <c r="Y1730" i="11" s="1"/>
  <c r="X1799" i="11"/>
  <c r="V1700" i="11"/>
  <c r="X1700" i="11" s="1"/>
  <c r="W1669" i="11"/>
  <c r="V1641" i="11"/>
  <c r="Y1641" i="11" s="1"/>
  <c r="X1849" i="11"/>
  <c r="X1747" i="11"/>
  <c r="X1669" i="11"/>
  <c r="X1495" i="11"/>
  <c r="V1485" i="11"/>
  <c r="X1485" i="11" s="1"/>
  <c r="V1516" i="11"/>
  <c r="X1516" i="11" s="1"/>
  <c r="V1464" i="11"/>
  <c r="Y1464" i="11" s="1"/>
  <c r="V1410" i="11"/>
  <c r="X1410" i="11" s="1"/>
  <c r="V1331" i="11"/>
  <c r="W1331" i="11" s="1"/>
  <c r="X1327" i="11"/>
  <c r="X1393" i="11"/>
  <c r="V1279" i="11"/>
  <c r="W1279" i="11" s="1"/>
  <c r="X1248" i="11"/>
  <c r="V1304" i="11"/>
  <c r="W1304" i="11" s="1"/>
  <c r="X1196" i="11"/>
  <c r="X1112" i="11"/>
  <c r="V1302" i="11"/>
  <c r="X1302" i="11" s="1"/>
  <c r="V1138" i="11"/>
  <c r="W1138" i="11" s="1"/>
  <c r="V1122" i="11"/>
  <c r="W1122" i="11" s="1"/>
  <c r="V1058" i="11"/>
  <c r="W1058" i="11" s="1"/>
  <c r="Y955" i="11"/>
  <c r="X1144" i="11"/>
  <c r="X984" i="11"/>
  <c r="X948" i="11"/>
  <c r="Y939" i="11"/>
  <c r="V1293" i="11"/>
  <c r="X1293" i="11" s="1"/>
  <c r="X998" i="11"/>
  <c r="W941" i="11"/>
  <c r="W928" i="11"/>
  <c r="W1099" i="11"/>
  <c r="X813" i="11"/>
  <c r="W651" i="11"/>
  <c r="W573" i="11"/>
  <c r="X999" i="11"/>
  <c r="W851" i="11"/>
  <c r="Y789" i="11"/>
  <c r="X1076" i="11"/>
  <c r="X1072" i="11"/>
  <c r="X773" i="11"/>
  <c r="X763" i="11"/>
  <c r="Y680" i="11"/>
  <c r="Y664" i="11"/>
  <c r="Y555" i="11"/>
  <c r="W548" i="11"/>
  <c r="W539" i="11"/>
  <c r="X290" i="11"/>
  <c r="X683" i="11"/>
  <c r="Y525" i="11"/>
  <c r="X357" i="11"/>
  <c r="V1143" i="11"/>
  <c r="X1143" i="11" s="1"/>
  <c r="X829" i="11"/>
  <c r="X522" i="11"/>
  <c r="X466" i="11"/>
  <c r="W440" i="11"/>
  <c r="Y1176" i="11"/>
  <c r="W626" i="11"/>
  <c r="W569" i="11"/>
  <c r="W371" i="11"/>
  <c r="W355" i="11"/>
  <c r="X287" i="11"/>
  <c r="Y259" i="11"/>
  <c r="X289" i="11"/>
  <c r="W1112" i="11"/>
  <c r="W525" i="11"/>
  <c r="W700" i="11"/>
  <c r="X364" i="11"/>
  <c r="W587" i="11"/>
  <c r="V1490" i="11"/>
  <c r="Y1490" i="11" s="1"/>
  <c r="V1328" i="11"/>
  <c r="X1328" i="11" s="1"/>
  <c r="W938" i="11"/>
  <c r="X883" i="11"/>
  <c r="W750" i="11"/>
  <c r="W688" i="11"/>
  <c r="Y1477" i="11"/>
  <c r="X1345" i="11"/>
  <c r="X628" i="11"/>
  <c r="Y573" i="11"/>
  <c r="W381" i="11"/>
  <c r="X885" i="11"/>
  <c r="W372" i="11"/>
  <c r="W784" i="11"/>
  <c r="Y241" i="11"/>
  <c r="W241" i="11"/>
  <c r="W220" i="11"/>
  <c r="Y222" i="11"/>
  <c r="W218" i="11"/>
  <c r="Y223" i="11"/>
  <c r="W233" i="11"/>
  <c r="W223" i="11"/>
  <c r="V1427" i="11"/>
  <c r="W1423" i="11"/>
  <c r="V1225" i="11"/>
  <c r="V1227" i="11"/>
  <c r="X1227" i="11" s="1"/>
  <c r="X1025" i="11"/>
  <c r="V1026" i="11"/>
  <c r="Y1026" i="11" s="1"/>
  <c r="W1244" i="11"/>
  <c r="V1247" i="11"/>
  <c r="W1247" i="11" s="1"/>
  <c r="Y1092" i="11"/>
  <c r="W1092" i="11"/>
  <c r="Y373" i="11"/>
  <c r="X373" i="11"/>
  <c r="Y191" i="11"/>
  <c r="X191" i="11"/>
  <c r="V1193" i="11"/>
  <c r="V1194" i="11"/>
  <c r="W1194" i="11" s="1"/>
  <c r="X377" i="11"/>
  <c r="W377" i="11"/>
  <c r="Y1349" i="11"/>
  <c r="X1349" i="11"/>
  <c r="Y25" i="11"/>
  <c r="X25" i="11"/>
  <c r="Y1848" i="11"/>
  <c r="W1848" i="11"/>
  <c r="Y947" i="11"/>
  <c r="W947" i="11"/>
  <c r="X237" i="11"/>
  <c r="W237" i="11"/>
  <c r="X838" i="11"/>
  <c r="W838" i="11"/>
  <c r="W1168" i="11"/>
  <c r="V1169" i="11"/>
  <c r="W1169" i="11" s="1"/>
  <c r="Y1168" i="11"/>
  <c r="V1170" i="11"/>
  <c r="Y1170" i="11" s="1"/>
  <c r="Y353" i="11"/>
  <c r="X353" i="11"/>
  <c r="W353" i="11"/>
  <c r="V187" i="11"/>
  <c r="Y187" i="11" s="1"/>
  <c r="X186" i="11"/>
  <c r="Y27" i="11"/>
  <c r="W27" i="11"/>
  <c r="X104" i="11"/>
  <c r="W104" i="11"/>
  <c r="X128" i="11"/>
  <c r="W128" i="11"/>
  <c r="Y376" i="11"/>
  <c r="W376" i="11"/>
  <c r="X376" i="11"/>
  <c r="Y368" i="11"/>
  <c r="X368" i="11"/>
  <c r="W368" i="11"/>
  <c r="W299" i="11"/>
  <c r="V300" i="11"/>
  <c r="W300" i="11" s="1"/>
  <c r="V301" i="11"/>
  <c r="W301" i="11" s="1"/>
  <c r="X1839" i="11"/>
  <c r="V1505" i="11"/>
  <c r="W1505" i="11" s="1"/>
  <c r="Y1423" i="11"/>
  <c r="X1423" i="11"/>
  <c r="V1245" i="11"/>
  <c r="Y1245" i="11" s="1"/>
  <c r="Y838" i="11"/>
  <c r="V1094" i="11"/>
  <c r="X1094" i="11" s="1"/>
  <c r="Y375" i="11"/>
  <c r="X299" i="11"/>
  <c r="Y130" i="11"/>
  <c r="Y104" i="11"/>
  <c r="X27" i="11"/>
  <c r="Y1803" i="11"/>
  <c r="X1803" i="11"/>
  <c r="Y1375" i="11"/>
  <c r="V1378" i="11"/>
  <c r="X1378" i="11" s="1"/>
  <c r="X737" i="11"/>
  <c r="W737" i="11"/>
  <c r="X707" i="11"/>
  <c r="W707" i="11"/>
  <c r="V511" i="11"/>
  <c r="Y511" i="11" s="1"/>
  <c r="Y507" i="11"/>
  <c r="Y1838" i="11"/>
  <c r="W1838" i="11"/>
  <c r="X894" i="11"/>
  <c r="Y894" i="11"/>
  <c r="Y49" i="11"/>
  <c r="X49" i="11"/>
  <c r="Y381" i="11"/>
  <c r="V291" i="11"/>
  <c r="X696" i="11"/>
  <c r="W696" i="11"/>
  <c r="X671" i="11"/>
  <c r="W671" i="11"/>
  <c r="X486" i="11"/>
  <c r="V487" i="11"/>
  <c r="W487" i="11" s="1"/>
  <c r="X119" i="11"/>
  <c r="W119" i="11"/>
  <c r="Y119" i="11"/>
  <c r="Y924" i="11"/>
  <c r="X924" i="11"/>
  <c r="W25" i="11"/>
  <c r="Y1116" i="11"/>
  <c r="V1117" i="11"/>
  <c r="W1117" i="11" s="1"/>
  <c r="W1116" i="11"/>
  <c r="Y543" i="11"/>
  <c r="X543" i="11"/>
  <c r="X269" i="11"/>
  <c r="W269" i="11"/>
  <c r="X127" i="11"/>
  <c r="Y127" i="11"/>
  <c r="X100" i="11"/>
  <c r="W100" i="11"/>
  <c r="Y927" i="11"/>
  <c r="W927" i="11"/>
  <c r="X1806" i="11"/>
  <c r="V1467" i="11"/>
  <c r="Y1467" i="11" s="1"/>
  <c r="V1503" i="11"/>
  <c r="X1503" i="11" s="1"/>
  <c r="V1470" i="11"/>
  <c r="X1470" i="11" s="1"/>
  <c r="V1424" i="11"/>
  <c r="W1424" i="11" s="1"/>
  <c r="V1425" i="11"/>
  <c r="Y1425" i="11" s="1"/>
  <c r="W1349" i="11"/>
  <c r="W1300" i="11"/>
  <c r="X1244" i="11"/>
  <c r="X1300" i="11"/>
  <c r="W1375" i="11"/>
  <c r="V1376" i="11"/>
  <c r="X1376" i="11" s="1"/>
  <c r="W894" i="11"/>
  <c r="X1192" i="11"/>
  <c r="X1224" i="11"/>
  <c r="X882" i="11"/>
  <c r="V1118" i="11"/>
  <c r="X1118" i="11" s="1"/>
  <c r="V405" i="11"/>
  <c r="Y405" i="11" s="1"/>
  <c r="X577" i="11"/>
  <c r="X375" i="11"/>
  <c r="W191" i="11"/>
  <c r="X653" i="11"/>
  <c r="V270" i="11"/>
  <c r="X270" i="11" s="1"/>
  <c r="X165" i="11"/>
  <c r="Y588" i="11"/>
  <c r="X220" i="11"/>
  <c r="Y572" i="11"/>
  <c r="X218" i="11"/>
  <c r="Y46" i="11"/>
  <c r="Y1836" i="11"/>
  <c r="W1836" i="11"/>
  <c r="W1753" i="11"/>
  <c r="V1754" i="11"/>
  <c r="W1754" i="11" s="1"/>
  <c r="V1637" i="11"/>
  <c r="W1637" i="11" s="1"/>
  <c r="V1638" i="11"/>
  <c r="W1638" i="11" s="1"/>
  <c r="V1163" i="11"/>
  <c r="V1162" i="11"/>
  <c r="W1162" i="11" s="1"/>
  <c r="Y674" i="11"/>
  <c r="X674" i="11"/>
  <c r="W186" i="11"/>
  <c r="W1465" i="11"/>
  <c r="X947" i="11"/>
  <c r="W863" i="11"/>
  <c r="Y486" i="11"/>
  <c r="V279" i="11"/>
  <c r="Y1790" i="11"/>
  <c r="W1790" i="11"/>
  <c r="W1651" i="11"/>
  <c r="Y1651" i="11"/>
  <c r="V1284" i="11"/>
  <c r="Y1280" i="11"/>
  <c r="W1148" i="11"/>
  <c r="X1148" i="11"/>
  <c r="V1155" i="11"/>
  <c r="W1152" i="11"/>
  <c r="X1152" i="11"/>
  <c r="X825" i="11"/>
  <c r="Y825" i="11"/>
  <c r="W561" i="11"/>
  <c r="Y561" i="11"/>
  <c r="W404" i="11"/>
  <c r="V917" i="11"/>
  <c r="V919" i="11"/>
  <c r="X919" i="11" s="1"/>
  <c r="X853" i="11"/>
  <c r="W853" i="11"/>
  <c r="X779" i="11"/>
  <c r="W779" i="11"/>
  <c r="X983" i="11"/>
  <c r="Y983" i="11"/>
  <c r="Y937" i="11"/>
  <c r="W937" i="11"/>
  <c r="Y800" i="11"/>
  <c r="W800" i="11"/>
  <c r="Y1813" i="11"/>
  <c r="W1813" i="11"/>
  <c r="W1345" i="11"/>
  <c r="V1348" i="11"/>
  <c r="Y1348" i="11" s="1"/>
  <c r="Y1345" i="11"/>
  <c r="V467" i="11"/>
  <c r="W467" i="11" s="1"/>
  <c r="Y466" i="11"/>
  <c r="X96" i="11"/>
  <c r="W96" i="11"/>
  <c r="X1017" i="11"/>
  <c r="Y1017" i="11"/>
  <c r="W1017" i="11"/>
  <c r="X417" i="11"/>
  <c r="W417" i="11"/>
  <c r="Y417" i="11"/>
  <c r="X205" i="11"/>
  <c r="Y205" i="11"/>
  <c r="Y1806" i="11"/>
  <c r="W1794" i="11"/>
  <c r="X1848" i="11"/>
  <c r="Y1845" i="11"/>
  <c r="Y1821" i="11"/>
  <c r="V1758" i="11"/>
  <c r="X1758" i="11" s="1"/>
  <c r="V1656" i="11"/>
  <c r="Y1656" i="11" s="1"/>
  <c r="X1823" i="11"/>
  <c r="X1651" i="11"/>
  <c r="V1635" i="11"/>
  <c r="W1635" i="11" s="1"/>
  <c r="V1586" i="11"/>
  <c r="W1586" i="11" s="1"/>
  <c r="V1502" i="11"/>
  <c r="X1502" i="11" s="1"/>
  <c r="V1346" i="11"/>
  <c r="X1346" i="11" s="1"/>
  <c r="V1426" i="11"/>
  <c r="X1426" i="11" s="1"/>
  <c r="W1192" i="11"/>
  <c r="W1290" i="11"/>
  <c r="Y1244" i="11"/>
  <c r="V1197" i="11"/>
  <c r="X1197" i="11" s="1"/>
  <c r="X1160" i="11"/>
  <c r="V1151" i="11"/>
  <c r="W1151" i="11" s="1"/>
  <c r="V1303" i="11"/>
  <c r="Y1303" i="11" s="1"/>
  <c r="V1283" i="11"/>
  <c r="Y1283" i="11" s="1"/>
  <c r="Y1152" i="11"/>
  <c r="W1096" i="11"/>
  <c r="V1377" i="11"/>
  <c r="Y1377" i="11" s="1"/>
  <c r="V1380" i="11"/>
  <c r="Y1380" i="11" s="1"/>
  <c r="Y1096" i="11"/>
  <c r="Y961" i="11"/>
  <c r="W809" i="11"/>
  <c r="W753" i="11"/>
  <c r="V1195" i="11"/>
  <c r="X1195" i="11" s="1"/>
  <c r="V1093" i="11"/>
  <c r="X1093" i="11" s="1"/>
  <c r="V1291" i="11"/>
  <c r="X1291" i="11" s="1"/>
  <c r="Y1224" i="11"/>
  <c r="W916" i="11"/>
  <c r="Y798" i="11"/>
  <c r="Y813" i="11"/>
  <c r="X1116" i="11"/>
  <c r="Y853" i="11"/>
  <c r="W829" i="11"/>
  <c r="Y701" i="11"/>
  <c r="Y696" i="11"/>
  <c r="Y684" i="11"/>
  <c r="Y619" i="11"/>
  <c r="W543" i="11"/>
  <c r="X404" i="11"/>
  <c r="Y577" i="11"/>
  <c r="X561" i="11"/>
  <c r="W466" i="11"/>
  <c r="Y379" i="11"/>
  <c r="Y630" i="11"/>
  <c r="W618" i="11"/>
  <c r="V468" i="11"/>
  <c r="Y468" i="11" s="1"/>
  <c r="V302" i="11"/>
  <c r="X302" i="11" s="1"/>
  <c r="Y237" i="11"/>
  <c r="X618" i="11"/>
  <c r="X586" i="11"/>
  <c r="Y648" i="11"/>
  <c r="W542" i="11"/>
  <c r="W373" i="11"/>
  <c r="W205" i="11"/>
  <c r="Y128" i="11"/>
  <c r="Y96" i="11"/>
  <c r="V188" i="11"/>
  <c r="X188" i="11" s="1"/>
  <c r="X46" i="11"/>
  <c r="W127" i="11"/>
  <c r="Y73" i="11"/>
  <c r="Y1104" i="11"/>
  <c r="V1107" i="11"/>
  <c r="W1107" i="11" s="1"/>
  <c r="Y564" i="11"/>
  <c r="X564" i="11"/>
  <c r="X481" i="11"/>
  <c r="Y481" i="11"/>
  <c r="W290" i="11"/>
  <c r="W203" i="11"/>
  <c r="Y1802" i="11"/>
  <c r="W1802" i="11"/>
  <c r="V1347" i="11"/>
  <c r="W933" i="11"/>
  <c r="V934" i="11"/>
  <c r="W934" i="11" s="1"/>
  <c r="X761" i="11"/>
  <c r="W761" i="11"/>
  <c r="V280" i="11"/>
  <c r="W280" i="11" s="1"/>
  <c r="W1108" i="11"/>
  <c r="V1111" i="11"/>
  <c r="W1111" i="11" s="1"/>
  <c r="X1019" i="11"/>
  <c r="W1019" i="11"/>
  <c r="W1543" i="11"/>
  <c r="X1543" i="11"/>
  <c r="V1548" i="11"/>
  <c r="X1548" i="11" s="1"/>
  <c r="X822" i="11"/>
  <c r="Y822" i="11"/>
  <c r="X795" i="11"/>
  <c r="W795" i="11"/>
  <c r="W474" i="11"/>
  <c r="Y474" i="11"/>
  <c r="W685" i="11"/>
  <c r="W1441" i="11"/>
  <c r="V1444" i="11"/>
  <c r="W1444" i="11" s="1"/>
  <c r="Y1441" i="11"/>
  <c r="W892" i="11"/>
  <c r="Y892" i="11"/>
  <c r="Y792" i="11"/>
  <c r="X792" i="11"/>
  <c r="W792" i="11"/>
  <c r="X726" i="11"/>
  <c r="W726" i="11"/>
  <c r="X669" i="11"/>
  <c r="W669" i="11"/>
  <c r="V1526" i="11"/>
  <c r="V1527" i="11"/>
  <c r="Y1527" i="11" s="1"/>
  <c r="V1528" i="11"/>
  <c r="W1528" i="11" s="1"/>
  <c r="Y1525" i="11"/>
  <c r="Y391" i="11"/>
  <c r="W391" i="11"/>
  <c r="W194" i="11"/>
  <c r="Y840" i="11"/>
  <c r="W840" i="11"/>
  <c r="X1814" i="11"/>
  <c r="W1827" i="11"/>
  <c r="W1851" i="11"/>
  <c r="W1771" i="11"/>
  <c r="V1775" i="11"/>
  <c r="W1775" i="11" s="1"/>
  <c r="Y1799" i="11"/>
  <c r="V1748" i="11"/>
  <c r="X1748" i="11" s="1"/>
  <c r="V1752" i="11"/>
  <c r="X1752" i="11" s="1"/>
  <c r="V1628" i="11"/>
  <c r="Y1628" i="11" s="1"/>
  <c r="V1631" i="11"/>
  <c r="X1631" i="11" s="1"/>
  <c r="X1489" i="11"/>
  <c r="V1494" i="11"/>
  <c r="Y1494" i="11" s="1"/>
  <c r="V1408" i="11"/>
  <c r="X1408" i="11" s="1"/>
  <c r="W1405" i="11"/>
  <c r="V1276" i="11"/>
  <c r="X1276" i="11" s="1"/>
  <c r="X1180" i="11"/>
  <c r="Y1120" i="11"/>
  <c r="X1056" i="11"/>
  <c r="Y880" i="11"/>
  <c r="X658" i="11"/>
  <c r="V392" i="11"/>
  <c r="W392" i="11" s="1"/>
  <c r="V400" i="11"/>
  <c r="W400" i="11" s="1"/>
  <c r="X389" i="11"/>
  <c r="W497" i="11"/>
  <c r="V145" i="11"/>
  <c r="X145" i="11" s="1"/>
  <c r="Y602" i="11"/>
  <c r="Y651" i="11"/>
  <c r="Y200" i="11"/>
  <c r="W38" i="11"/>
  <c r="X22" i="11"/>
  <c r="X526" i="11"/>
  <c r="Y477" i="11"/>
  <c r="W22" i="11"/>
  <c r="X32" i="11"/>
  <c r="W806" i="11"/>
  <c r="W741" i="11"/>
  <c r="W389" i="11"/>
  <c r="V1492" i="11"/>
  <c r="W1492" i="11" s="1"/>
  <c r="Y1825" i="11"/>
  <c r="X1825" i="11"/>
  <c r="V1727" i="11"/>
  <c r="X1727" i="11" s="1"/>
  <c r="V1725" i="11"/>
  <c r="Y1725" i="11" s="1"/>
  <c r="V1728" i="11"/>
  <c r="Y1728" i="11" s="1"/>
  <c r="Y1723" i="11"/>
  <c r="V1574" i="11"/>
  <c r="X1574" i="11" s="1"/>
  <c r="Y1573" i="11"/>
  <c r="V1576" i="11"/>
  <c r="W1576" i="11" s="1"/>
  <c r="V1577" i="11"/>
  <c r="X1577" i="11" s="1"/>
  <c r="X695" i="11"/>
  <c r="W695" i="11"/>
  <c r="X679" i="11"/>
  <c r="Y679" i="11"/>
  <c r="W679" i="11"/>
  <c r="V1065" i="11"/>
  <c r="W1065" i="11" s="1"/>
  <c r="V1067" i="11"/>
  <c r="W1067" i="11" s="1"/>
  <c r="Y1064" i="11"/>
  <c r="W506" i="11"/>
  <c r="Y506" i="11"/>
  <c r="X506" i="11"/>
  <c r="W369" i="11"/>
  <c r="Y369" i="11"/>
  <c r="X369" i="11"/>
  <c r="X538" i="11"/>
  <c r="Y538" i="11"/>
  <c r="W538" i="11"/>
  <c r="W292" i="11"/>
  <c r="Y292" i="11"/>
  <c r="V1697" i="11"/>
  <c r="Y1693" i="11"/>
  <c r="V1694" i="11"/>
  <c r="W1694" i="11" s="1"/>
  <c r="X1693" i="11"/>
  <c r="W1363" i="11"/>
  <c r="V1366" i="11"/>
  <c r="W1366" i="11" s="1"/>
  <c r="Y1363" i="11"/>
  <c r="V1367" i="11"/>
  <c r="Y1367" i="11" s="1"/>
  <c r="Y1164" i="11"/>
  <c r="V1165" i="11"/>
  <c r="Y1165" i="11" s="1"/>
  <c r="X1164" i="11"/>
  <c r="V1420" i="11"/>
  <c r="W1420" i="11" s="1"/>
  <c r="V1421" i="11"/>
  <c r="W1421" i="11" s="1"/>
  <c r="X1417" i="11"/>
  <c r="V906" i="11"/>
  <c r="X904" i="11"/>
  <c r="W904" i="11"/>
  <c r="V905" i="11"/>
  <c r="Y905" i="11" s="1"/>
  <c r="Y859" i="11"/>
  <c r="X859" i="11"/>
  <c r="W859" i="11"/>
  <c r="X819" i="11"/>
  <c r="W819" i="11"/>
  <c r="X790" i="11"/>
  <c r="Y790" i="11"/>
  <c r="X614" i="11"/>
  <c r="Y614" i="11"/>
  <c r="X521" i="11"/>
  <c r="Y521" i="11"/>
  <c r="W521" i="11"/>
  <c r="Y360" i="11"/>
  <c r="X360" i="11"/>
  <c r="Y1321" i="11"/>
  <c r="W1321" i="11"/>
  <c r="V1325" i="11"/>
  <c r="W1325" i="11" s="1"/>
  <c r="V1326" i="11"/>
  <c r="W979" i="11"/>
  <c r="Y979" i="11"/>
  <c r="W963" i="11"/>
  <c r="Y963" i="11"/>
  <c r="X472" i="11"/>
  <c r="W472" i="11"/>
  <c r="V320" i="11"/>
  <c r="X320" i="11" s="1"/>
  <c r="X317" i="11"/>
  <c r="V321" i="11"/>
  <c r="X321" i="11" s="1"/>
  <c r="W122" i="11"/>
  <c r="Y122" i="11"/>
  <c r="V1589" i="11"/>
  <c r="X1585" i="11"/>
  <c r="W1585" i="11"/>
  <c r="V1587" i="11"/>
  <c r="X1587" i="11" s="1"/>
  <c r="Y1585" i="11"/>
  <c r="X766" i="11"/>
  <c r="W766" i="11"/>
  <c r="Y766" i="11"/>
  <c r="W1080" i="11"/>
  <c r="V1083" i="11"/>
  <c r="Y1080" i="11"/>
  <c r="V1082" i="11"/>
  <c r="X1082" i="11" s="1"/>
  <c r="Y752" i="11"/>
  <c r="W752" i="11"/>
  <c r="X91" i="11"/>
  <c r="W91" i="11"/>
  <c r="W1845" i="11"/>
  <c r="W1693" i="11"/>
  <c r="Y1831" i="11"/>
  <c r="V1761" i="11"/>
  <c r="Y1761" i="11" s="1"/>
  <c r="V1664" i="11"/>
  <c r="Y1664" i="11" s="1"/>
  <c r="V1698" i="11"/>
  <c r="X1698" i="11" s="1"/>
  <c r="V1707" i="11"/>
  <c r="X1707" i="11" s="1"/>
  <c r="V1422" i="11"/>
  <c r="X1422" i="11" s="1"/>
  <c r="X1321" i="11"/>
  <c r="W1417" i="11"/>
  <c r="V1365" i="11"/>
  <c r="W1365" i="11" s="1"/>
  <c r="X1168" i="11"/>
  <c r="V1341" i="11"/>
  <c r="Y1341" i="11" s="1"/>
  <c r="Y904" i="11"/>
  <c r="W801" i="11"/>
  <c r="W614" i="11"/>
  <c r="W733" i="11"/>
  <c r="W527" i="11"/>
  <c r="Y520" i="11"/>
  <c r="Y626" i="11"/>
  <c r="V276" i="11"/>
  <c r="X276" i="11" s="1"/>
  <c r="X549" i="11"/>
  <c r="X479" i="11"/>
  <c r="Y765" i="11"/>
  <c r="X527" i="11"/>
  <c r="X34" i="11"/>
  <c r="W277" i="11"/>
  <c r="X122" i="11"/>
  <c r="V1336" i="11"/>
  <c r="W1336" i="11" s="1"/>
  <c r="V1335" i="11"/>
  <c r="Y1335" i="11" s="1"/>
  <c r="V1337" i="11"/>
  <c r="Y1337" i="11" s="1"/>
  <c r="Y438" i="11"/>
  <c r="W438" i="11"/>
  <c r="X438" i="11"/>
  <c r="W429" i="11"/>
  <c r="Y365" i="11"/>
  <c r="X365" i="11"/>
  <c r="Y207" i="11"/>
  <c r="W207" i="11"/>
  <c r="V1324" i="11"/>
  <c r="X138" i="11"/>
  <c r="W138" i="11"/>
  <c r="Y138" i="11"/>
  <c r="W43" i="11"/>
  <c r="X413" i="11"/>
  <c r="X366" i="11"/>
  <c r="X82" i="11"/>
  <c r="X62" i="11"/>
  <c r="Y62" i="11"/>
  <c r="W62" i="11"/>
  <c r="X639" i="11"/>
  <c r="Y639" i="11"/>
  <c r="V256" i="11"/>
  <c r="V255" i="11"/>
  <c r="W255" i="11" s="1"/>
  <c r="X254" i="11"/>
  <c r="Y254" i="11"/>
  <c r="Y74" i="11"/>
  <c r="X74" i="11"/>
  <c r="W1409" i="11"/>
  <c r="X1409" i="11"/>
  <c r="Y1062" i="11"/>
  <c r="X98" i="11"/>
  <c r="Y98" i="11"/>
  <c r="X1846" i="11"/>
  <c r="X1840" i="11"/>
  <c r="V1760" i="11"/>
  <c r="W1760" i="11" s="1"/>
  <c r="X898" i="11"/>
  <c r="Y695" i="11"/>
  <c r="Y82" i="11"/>
  <c r="W1164" i="11"/>
  <c r="W887" i="11"/>
  <c r="X887" i="11"/>
  <c r="Y531" i="11"/>
  <c r="X531" i="11"/>
  <c r="V1388" i="11"/>
  <c r="Y1388" i="11" s="1"/>
  <c r="V1389" i="11"/>
  <c r="Y1389" i="11" s="1"/>
  <c r="V1392" i="11"/>
  <c r="W1392" i="11" s="1"/>
  <c r="W374" i="11"/>
  <c r="W366" i="11"/>
  <c r="W358" i="11"/>
  <c r="W34" i="11"/>
  <c r="X570" i="11"/>
  <c r="Y570" i="11"/>
  <c r="W570" i="11"/>
  <c r="W359" i="11"/>
  <c r="Y359" i="11"/>
  <c r="X359" i="11"/>
  <c r="Y242" i="11"/>
  <c r="W242" i="11"/>
  <c r="V1322" i="11"/>
  <c r="X1322" i="11" s="1"/>
  <c r="W924" i="11"/>
  <c r="W790" i="11"/>
  <c r="W530" i="11"/>
  <c r="X530" i="11"/>
  <c r="Y413" i="11"/>
  <c r="X874" i="11"/>
  <c r="W874" i="11"/>
  <c r="X563" i="11"/>
  <c r="Y563" i="11"/>
  <c r="Y429" i="11"/>
  <c r="V1127" i="11"/>
  <c r="X1127" i="11" s="1"/>
  <c r="V1126" i="11"/>
  <c r="Y1124" i="11"/>
  <c r="W1028" i="11"/>
  <c r="V1029" i="11"/>
  <c r="W1029" i="11" s="1"/>
  <c r="X897" i="11"/>
  <c r="Y897" i="11"/>
  <c r="W872" i="11"/>
  <c r="Y872" i="11"/>
  <c r="W650" i="11"/>
  <c r="Y650" i="11"/>
  <c r="X650" i="11"/>
  <c r="W600" i="11"/>
  <c r="X600" i="11"/>
  <c r="X547" i="11"/>
  <c r="Y547" i="11"/>
  <c r="V460" i="11"/>
  <c r="X460" i="11" s="1"/>
  <c r="Y458" i="11"/>
  <c r="V459" i="11"/>
  <c r="X459" i="11" s="1"/>
  <c r="Y77" i="11"/>
  <c r="W77" i="11"/>
  <c r="X891" i="11"/>
  <c r="W891" i="11"/>
  <c r="Y891" i="11"/>
  <c r="X610" i="11"/>
  <c r="W610" i="11"/>
  <c r="Y610" i="11"/>
  <c r="Y591" i="11"/>
  <c r="V592" i="11"/>
  <c r="X592" i="11" s="1"/>
  <c r="V593" i="11"/>
  <c r="X593" i="11" s="1"/>
  <c r="V397" i="11"/>
  <c r="W397" i="11" s="1"/>
  <c r="Y394" i="11"/>
  <c r="V395" i="11"/>
  <c r="X395" i="11" s="1"/>
  <c r="X1816" i="11"/>
  <c r="V1764" i="11"/>
  <c r="W1764" i="11" s="1"/>
  <c r="V1667" i="11"/>
  <c r="X1667" i="11" s="1"/>
  <c r="W1825" i="11"/>
  <c r="V1710" i="11"/>
  <c r="Y1710" i="11" s="1"/>
  <c r="V1590" i="11"/>
  <c r="X1590" i="11" s="1"/>
  <c r="X1478" i="11"/>
  <c r="Y1417" i="11"/>
  <c r="V1364" i="11"/>
  <c r="X1364" i="11" s="1"/>
  <c r="V1342" i="11"/>
  <c r="X1342" i="11" s="1"/>
  <c r="X1080" i="11"/>
  <c r="V1166" i="11"/>
  <c r="Y1166" i="11" s="1"/>
  <c r="V907" i="11"/>
  <c r="Y907" i="11" s="1"/>
  <c r="W879" i="11"/>
  <c r="W1124" i="11"/>
  <c r="X1124" i="11"/>
  <c r="Y806" i="11"/>
  <c r="W757" i="11"/>
  <c r="X741" i="11"/>
  <c r="W531" i="11"/>
  <c r="Y317" i="11"/>
  <c r="X458" i="11"/>
  <c r="X591" i="11"/>
  <c r="W479" i="11"/>
  <c r="W458" i="11"/>
  <c r="Y475" i="11"/>
  <c r="W317" i="11"/>
  <c r="X275" i="11"/>
  <c r="Y91" i="11"/>
  <c r="X228" i="11"/>
  <c r="W98" i="11"/>
  <c r="W1609" i="11"/>
  <c r="Y1609" i="11"/>
  <c r="V1550" i="11"/>
  <c r="W1550" i="11" s="1"/>
  <c r="V1551" i="11"/>
  <c r="Y1551" i="11" s="1"/>
  <c r="W699" i="11"/>
  <c r="Y699" i="11"/>
  <c r="V1171" i="11"/>
  <c r="Y1028" i="11"/>
  <c r="V909" i="11"/>
  <c r="W909" i="11" s="1"/>
  <c r="V911" i="11"/>
  <c r="W911" i="11" s="1"/>
  <c r="W51" i="11"/>
  <c r="X51" i="11"/>
  <c r="X361" i="11"/>
  <c r="W361" i="11"/>
  <c r="V1650" i="11"/>
  <c r="V1647" i="11"/>
  <c r="W1647" i="11" s="1"/>
  <c r="V1649" i="11"/>
  <c r="X1649" i="11" s="1"/>
  <c r="V1646" i="11"/>
  <c r="Y1646" i="11" s="1"/>
  <c r="V1648" i="11"/>
  <c r="W1648" i="11" s="1"/>
  <c r="W1645" i="11"/>
  <c r="V1570" i="11"/>
  <c r="V1572" i="11"/>
  <c r="W1567" i="11"/>
  <c r="X1567" i="11"/>
  <c r="V1569" i="11"/>
  <c r="W1569" i="11" s="1"/>
  <c r="V1568" i="11"/>
  <c r="W1568" i="11" s="1"/>
  <c r="V1449" i="11"/>
  <c r="X1449" i="11" s="1"/>
  <c r="V1450" i="11"/>
  <c r="W1450" i="11" s="1"/>
  <c r="W1447" i="11"/>
  <c r="V1448" i="11"/>
  <c r="W1448" i="11" s="1"/>
  <c r="Y1447" i="11"/>
  <c r="V1274" i="11"/>
  <c r="V1271" i="11"/>
  <c r="X1271" i="11" s="1"/>
  <c r="V1273" i="11"/>
  <c r="Y1273" i="11" s="1"/>
  <c r="V1272" i="11"/>
  <c r="X1272" i="11" s="1"/>
  <c r="V1109" i="11"/>
  <c r="X1109" i="11" s="1"/>
  <c r="V1110" i="11"/>
  <c r="X1110" i="11" s="1"/>
  <c r="V1074" i="11"/>
  <c r="X1074" i="11" s="1"/>
  <c r="V1075" i="11"/>
  <c r="W1075" i="11" s="1"/>
  <c r="Y238" i="11"/>
  <c r="W238" i="11"/>
  <c r="V1416" i="11"/>
  <c r="W1416" i="11" s="1"/>
  <c r="V1414" i="11"/>
  <c r="Y1414" i="11" s="1"/>
  <c r="V1415" i="11"/>
  <c r="X1415" i="11" s="1"/>
  <c r="W1228" i="11"/>
  <c r="X1228" i="11"/>
  <c r="V1230" i="11"/>
  <c r="X1230" i="11" s="1"/>
  <c r="X899" i="11"/>
  <c r="W899" i="11"/>
  <c r="Y899" i="11"/>
  <c r="Y821" i="11"/>
  <c r="W821" i="11"/>
  <c r="W776" i="11"/>
  <c r="X776" i="11"/>
  <c r="Y559" i="11"/>
  <c r="X559" i="11"/>
  <c r="Y529" i="11"/>
  <c r="W529" i="11"/>
  <c r="W228" i="11"/>
  <c r="V166" i="11"/>
  <c r="Y165" i="11"/>
  <c r="Y99" i="11"/>
  <c r="W99" i="11"/>
  <c r="W635" i="11"/>
  <c r="X415" i="11"/>
  <c r="Y415" i="11"/>
  <c r="V185" i="11"/>
  <c r="Y185" i="11" s="1"/>
  <c r="W183" i="11"/>
  <c r="X183" i="11"/>
  <c r="W664" i="11"/>
  <c r="W547" i="11"/>
  <c r="W824" i="11"/>
  <c r="W31" i="11"/>
  <c r="Y712" i="11"/>
  <c r="W712" i="11"/>
  <c r="Y378" i="11"/>
  <c r="X378" i="11"/>
  <c r="Y370" i="11"/>
  <c r="X370" i="11"/>
  <c r="W37" i="11"/>
  <c r="W370" i="11"/>
  <c r="W378" i="11"/>
  <c r="W1627" i="11"/>
  <c r="V354" i="11"/>
  <c r="W354" i="11" s="1"/>
  <c r="Y728" i="11"/>
  <c r="W728" i="11"/>
  <c r="X785" i="11"/>
  <c r="Y785" i="11"/>
  <c r="W111" i="11"/>
  <c r="Y362" i="11"/>
  <c r="X362" i="11"/>
  <c r="W356" i="11"/>
  <c r="Y1819" i="11"/>
  <c r="X1819" i="11"/>
  <c r="V1566" i="11"/>
  <c r="W1561" i="11"/>
  <c r="Y986" i="11"/>
  <c r="X986" i="11"/>
  <c r="Y994" i="11"/>
  <c r="X994" i="11"/>
  <c r="V1049" i="11"/>
  <c r="Y1047" i="11"/>
  <c r="X103" i="11"/>
  <c r="W103" i="11"/>
  <c r="Y86" i="11"/>
  <c r="W86" i="11"/>
  <c r="Y978" i="11"/>
  <c r="X978" i="11"/>
  <c r="Y974" i="11"/>
  <c r="X974" i="11"/>
  <c r="Y970" i="11"/>
  <c r="X970" i="11"/>
  <c r="Y966" i="11"/>
  <c r="X966" i="11"/>
  <c r="Y962" i="11"/>
  <c r="X962" i="11"/>
  <c r="Y958" i="11"/>
  <c r="X958" i="11"/>
  <c r="Y954" i="11"/>
  <c r="X954" i="11"/>
  <c r="Y950" i="11"/>
  <c r="X950" i="11"/>
  <c r="X225" i="11"/>
  <c r="Y225" i="11"/>
  <c r="Y926" i="11"/>
  <c r="X926" i="11"/>
  <c r="X640" i="11"/>
  <c r="Y640" i="11"/>
  <c r="W994" i="11"/>
  <c r="X631" i="11"/>
  <c r="W631" i="11"/>
  <c r="Y226" i="11"/>
  <c r="X226" i="11"/>
  <c r="W210" i="11"/>
  <c r="W623" i="11"/>
  <c r="X1802" i="11"/>
  <c r="X1832" i="11"/>
  <c r="X1827" i="11"/>
  <c r="V1744" i="11"/>
  <c r="Y1744" i="11" s="1"/>
  <c r="W1831" i="11"/>
  <c r="Y1807" i="11"/>
  <c r="V1625" i="11"/>
  <c r="Y1625" i="11" s="1"/>
  <c r="V1610" i="11"/>
  <c r="Y1610" i="11" s="1"/>
  <c r="V1708" i="11"/>
  <c r="W1708" i="11" s="1"/>
  <c r="V1626" i="11"/>
  <c r="X1626" i="11" s="1"/>
  <c r="V1562" i="11"/>
  <c r="X1562" i="11" s="1"/>
  <c r="X1561" i="11"/>
  <c r="X1622" i="11"/>
  <c r="W1387" i="11"/>
  <c r="V1390" i="11"/>
  <c r="Y1390" i="11" s="1"/>
  <c r="Y1339" i="11"/>
  <c r="V1343" i="11"/>
  <c r="Y1343" i="11" s="1"/>
  <c r="V1050" i="11"/>
  <c r="X1050" i="11" s="1"/>
  <c r="V1211" i="11"/>
  <c r="Y1211" i="11" s="1"/>
  <c r="W729" i="11"/>
  <c r="W986" i="11"/>
  <c r="V1131" i="11"/>
  <c r="X1131" i="11" s="1"/>
  <c r="Y1128" i="11"/>
  <c r="X870" i="11"/>
  <c r="Y874" i="11"/>
  <c r="X1064" i="11"/>
  <c r="Y729" i="11"/>
  <c r="Y631" i="11"/>
  <c r="W507" i="11"/>
  <c r="W588" i="11"/>
  <c r="Y542" i="11"/>
  <c r="X533" i="11"/>
  <c r="Y382" i="11"/>
  <c r="X355" i="11"/>
  <c r="V309" i="11"/>
  <c r="X309" i="11" s="1"/>
  <c r="V508" i="11"/>
  <c r="W508" i="11" s="1"/>
  <c r="V311" i="11"/>
  <c r="X311" i="11" s="1"/>
  <c r="V1178" i="11"/>
  <c r="W1178" i="11" s="1"/>
  <c r="W54" i="11"/>
  <c r="W199" i="11"/>
  <c r="X65" i="11"/>
  <c r="X57" i="11"/>
  <c r="X477" i="11"/>
  <c r="X210" i="11"/>
  <c r="X232" i="11"/>
  <c r="W232" i="11"/>
  <c r="Y51" i="11"/>
  <c r="V1668" i="11"/>
  <c r="V1666" i="11"/>
  <c r="W1663" i="11"/>
  <c r="V1027" i="11"/>
  <c r="Y1025" i="11"/>
  <c r="W974" i="11"/>
  <c r="W966" i="11"/>
  <c r="W958" i="11"/>
  <c r="W950" i="11"/>
  <c r="X817" i="11"/>
  <c r="Y817" i="11"/>
  <c r="Y720" i="11"/>
  <c r="W720" i="11"/>
  <c r="W533" i="11"/>
  <c r="Y470" i="11"/>
  <c r="X470" i="11"/>
  <c r="W1025" i="11"/>
  <c r="Y816" i="11"/>
  <c r="W816" i="11"/>
  <c r="X606" i="11"/>
  <c r="Y606" i="11"/>
  <c r="Y523" i="11"/>
  <c r="X523" i="11"/>
  <c r="Y234" i="11"/>
  <c r="X234" i="11"/>
  <c r="W226" i="11"/>
  <c r="X83" i="11"/>
  <c r="W83" i="11"/>
  <c r="W734" i="11"/>
  <c r="X659" i="11"/>
  <c r="Y659" i="11"/>
  <c r="Y583" i="11"/>
  <c r="X583" i="11"/>
  <c r="X230" i="11"/>
  <c r="Y230" i="11"/>
  <c r="Y193" i="11"/>
  <c r="X193" i="11"/>
  <c r="Y867" i="11"/>
  <c r="X867" i="11"/>
  <c r="W88" i="11"/>
  <c r="X431" i="11"/>
  <c r="Y431" i="11"/>
  <c r="V155" i="11"/>
  <c r="V154" i="11"/>
  <c r="Y153" i="11"/>
  <c r="X153" i="11"/>
  <c r="W193" i="11"/>
  <c r="X632" i="11"/>
  <c r="Y632" i="11"/>
  <c r="W470" i="11"/>
  <c r="W1842" i="11"/>
  <c r="X1838" i="11"/>
  <c r="W1826" i="11"/>
  <c r="W1819" i="11"/>
  <c r="W1852" i="11"/>
  <c r="Y1741" i="11"/>
  <c r="V1745" i="11"/>
  <c r="X1745" i="11" s="1"/>
  <c r="W1759" i="11"/>
  <c r="V1762" i="11"/>
  <c r="Y1762" i="11" s="1"/>
  <c r="X1663" i="11"/>
  <c r="W1723" i="11"/>
  <c r="V1726" i="11"/>
  <c r="W1726" i="11" s="1"/>
  <c r="V1624" i="11"/>
  <c r="Y1624" i="11" s="1"/>
  <c r="V1613" i="11"/>
  <c r="X1613" i="11" s="1"/>
  <c r="V1612" i="11"/>
  <c r="X1612" i="11" s="1"/>
  <c r="Y1621" i="11"/>
  <c r="V1709" i="11"/>
  <c r="Y1709" i="11" s="1"/>
  <c r="Y1705" i="11"/>
  <c r="X1573" i="11"/>
  <c r="V1553" i="11"/>
  <c r="X1553" i="11" s="1"/>
  <c r="Y1561" i="11"/>
  <c r="V1563" i="11"/>
  <c r="Y1563" i="11" s="1"/>
  <c r="Y1549" i="11"/>
  <c r="Y1622" i="11"/>
  <c r="W1208" i="11"/>
  <c r="W1176" i="11"/>
  <c r="V1391" i="11"/>
  <c r="X1391" i="11" s="1"/>
  <c r="Y1387" i="11"/>
  <c r="V1340" i="11"/>
  <c r="W1340" i="11" s="1"/>
  <c r="V1344" i="11"/>
  <c r="W1344" i="11" s="1"/>
  <c r="W1187" i="11"/>
  <c r="W1128" i="11"/>
  <c r="V1048" i="11"/>
  <c r="W1048" i="11" s="1"/>
  <c r="X1208" i="11"/>
  <c r="W1003" i="11"/>
  <c r="W841" i="11"/>
  <c r="V1095" i="11"/>
  <c r="X1095" i="11" s="1"/>
  <c r="X816" i="11"/>
  <c r="X768" i="11"/>
  <c r="X720" i="11"/>
  <c r="W867" i="11"/>
  <c r="X1128" i="11"/>
  <c r="X1003" i="11"/>
  <c r="Y879" i="11"/>
  <c r="Y870" i="11"/>
  <c r="W606" i="11"/>
  <c r="V1338" i="11"/>
  <c r="X1338" i="11" s="1"/>
  <c r="W1333" i="11"/>
  <c r="W1209" i="11"/>
  <c r="Y908" i="11"/>
  <c r="V1066" i="11"/>
  <c r="X1066" i="11" s="1"/>
  <c r="Y627" i="11"/>
  <c r="Y579" i="11"/>
  <c r="X797" i="11"/>
  <c r="Y703" i="11"/>
  <c r="Y687" i="11"/>
  <c r="X507" i="11"/>
  <c r="U380" i="11"/>
  <c r="V380" i="11" s="1"/>
  <c r="X380" i="11" s="1"/>
  <c r="Y361" i="11"/>
  <c r="X307" i="11"/>
  <c r="V288" i="11"/>
  <c r="X288" i="11" s="1"/>
  <c r="Y653" i="11"/>
  <c r="W634" i="11"/>
  <c r="V509" i="11"/>
  <c r="W509" i="11" s="1"/>
  <c r="V510" i="11"/>
  <c r="X510" i="11" s="1"/>
  <c r="V310" i="11"/>
  <c r="W310" i="11" s="1"/>
  <c r="X475" i="11"/>
  <c r="V1177" i="11"/>
  <c r="W1177" i="11" s="1"/>
  <c r="V1179" i="11"/>
  <c r="Y1179" i="11" s="1"/>
  <c r="Y841" i="11"/>
  <c r="W307" i="11"/>
  <c r="X246" i="11"/>
  <c r="W126" i="11"/>
  <c r="X86" i="11"/>
  <c r="Y26" i="11"/>
  <c r="X277" i="11"/>
  <c r="X78" i="11"/>
  <c r="X43" i="11"/>
  <c r="X126" i="11"/>
  <c r="Y54" i="11"/>
  <c r="Y1633" i="11"/>
  <c r="V1634" i="11"/>
  <c r="V1518" i="11"/>
  <c r="W1513" i="11"/>
  <c r="X895" i="11"/>
  <c r="Y895" i="11"/>
  <c r="W718" i="11"/>
  <c r="Y575" i="11"/>
  <c r="X575" i="11"/>
  <c r="X929" i="11"/>
  <c r="Y929" i="11"/>
  <c r="V902" i="11"/>
  <c r="Y900" i="11"/>
  <c r="Y873" i="11"/>
  <c r="X873" i="11"/>
  <c r="X423" i="11"/>
  <c r="Y423" i="11"/>
  <c r="W65" i="11"/>
  <c r="Y980" i="11"/>
  <c r="X980" i="11"/>
  <c r="Y976" i="11"/>
  <c r="X976" i="11"/>
  <c r="Y972" i="11"/>
  <c r="X972" i="11"/>
  <c r="Y968" i="11"/>
  <c r="X968" i="11"/>
  <c r="Y964" i="11"/>
  <c r="X964" i="11"/>
  <c r="Y960" i="11"/>
  <c r="X960" i="11"/>
  <c r="Y956" i="11"/>
  <c r="X956" i="11"/>
  <c r="Y952" i="11"/>
  <c r="X952" i="11"/>
  <c r="X721" i="11"/>
  <c r="Y721" i="11"/>
  <c r="Y201" i="11"/>
  <c r="X201" i="11"/>
  <c r="X398" i="11"/>
  <c r="Y398" i="11"/>
  <c r="W70" i="11"/>
  <c r="W640" i="11"/>
  <c r="W225" i="11"/>
  <c r="X933" i="11"/>
  <c r="V935" i="11"/>
  <c r="W873" i="11"/>
  <c r="W674" i="11"/>
  <c r="W202" i="11"/>
  <c r="X433" i="11"/>
  <c r="Y433" i="11"/>
  <c r="X408" i="11"/>
  <c r="Y408" i="11"/>
  <c r="W275" i="11"/>
  <c r="X1842" i="11"/>
  <c r="X1826" i="11"/>
  <c r="W1816" i="11"/>
  <c r="X1852" i="11"/>
  <c r="X1844" i="11"/>
  <c r="X1836" i="11"/>
  <c r="V1742" i="11"/>
  <c r="Y1742" i="11" s="1"/>
  <c r="V1746" i="11"/>
  <c r="Y1746" i="11" s="1"/>
  <c r="V1755" i="11"/>
  <c r="W1755" i="11" s="1"/>
  <c r="X1753" i="11"/>
  <c r="W1705" i="11"/>
  <c r="X1759" i="11"/>
  <c r="V1763" i="11"/>
  <c r="Y1763" i="11" s="1"/>
  <c r="V1665" i="11"/>
  <c r="W1665" i="11" s="1"/>
  <c r="X1723" i="11"/>
  <c r="X1621" i="11"/>
  <c r="X1609" i="11"/>
  <c r="X1633" i="11"/>
  <c r="W1621" i="11"/>
  <c r="X1705" i="11"/>
  <c r="W1573" i="11"/>
  <c r="V1575" i="11"/>
  <c r="W1575" i="11" s="1"/>
  <c r="X1549" i="11"/>
  <c r="V1564" i="11"/>
  <c r="W1564" i="11" s="1"/>
  <c r="V1578" i="11"/>
  <c r="Y1578" i="11" s="1"/>
  <c r="Y1513" i="11"/>
  <c r="V1515" i="11"/>
  <c r="X1515" i="11" s="1"/>
  <c r="W1275" i="11"/>
  <c r="Y1275" i="11"/>
  <c r="X1387" i="11"/>
  <c r="X1339" i="11"/>
  <c r="V1246" i="11"/>
  <c r="W1246" i="11" s="1"/>
  <c r="V1161" i="11"/>
  <c r="X1161" i="11" s="1"/>
  <c r="X1047" i="11"/>
  <c r="Y1208" i="11"/>
  <c r="W999" i="11"/>
  <c r="W908" i="11"/>
  <c r="W721" i="11"/>
  <c r="Y1192" i="11"/>
  <c r="V903" i="11"/>
  <c r="X903" i="11" s="1"/>
  <c r="W900" i="11"/>
  <c r="Y734" i="11"/>
  <c r="Y718" i="11"/>
  <c r="Y801" i="11"/>
  <c r="Y737" i="11"/>
  <c r="W703" i="11"/>
  <c r="W687" i="11"/>
  <c r="X1333" i="11"/>
  <c r="Y999" i="11"/>
  <c r="V910" i="11"/>
  <c r="X910" i="11" s="1"/>
  <c r="Y623" i="11"/>
  <c r="V557" i="11"/>
  <c r="Y557" i="11" s="1"/>
  <c r="W535" i="11"/>
  <c r="Y642" i="11"/>
  <c r="W572" i="11"/>
  <c r="W541" i="11"/>
  <c r="X382" i="11"/>
  <c r="X292" i="11"/>
  <c r="Y275" i="11"/>
  <c r="W259" i="11"/>
  <c r="X242" i="11"/>
  <c r="W526" i="11"/>
  <c r="V261" i="11"/>
  <c r="X261" i="11" s="1"/>
  <c r="U113" i="11"/>
  <c r="V113" i="11" s="1"/>
  <c r="W113" i="11" s="1"/>
  <c r="W49" i="11"/>
  <c r="Y215" i="11"/>
  <c r="Y108" i="11"/>
  <c r="Y88" i="11"/>
  <c r="Y70" i="11"/>
  <c r="Y23" i="11"/>
  <c r="X207" i="11"/>
  <c r="W78" i="11"/>
  <c r="W26" i="11"/>
  <c r="Y1820" i="11"/>
  <c r="X1820" i="11"/>
  <c r="V1506" i="11"/>
  <c r="V1504" i="11"/>
  <c r="V1137" i="11"/>
  <c r="X1136" i="11"/>
  <c r="Y1136" i="11"/>
  <c r="V1469" i="11"/>
  <c r="V1466" i="11"/>
  <c r="Y1465" i="11"/>
  <c r="V1468" i="11"/>
  <c r="V1318" i="11"/>
  <c r="V1316" i="11"/>
  <c r="Y1315" i="11"/>
  <c r="V1320" i="11"/>
  <c r="W978" i="11"/>
  <c r="W970" i="11"/>
  <c r="W962" i="11"/>
  <c r="W954" i="11"/>
  <c r="Y848" i="11"/>
  <c r="W848" i="11"/>
  <c r="Y808" i="11"/>
  <c r="W808" i="11"/>
  <c r="Y760" i="11"/>
  <c r="W760" i="11"/>
  <c r="X675" i="11"/>
  <c r="Y675" i="11"/>
  <c r="Y352" i="11"/>
  <c r="X352" i="11"/>
  <c r="Y1787" i="11"/>
  <c r="X1787" i="11"/>
  <c r="X849" i="11"/>
  <c r="Y849" i="11"/>
  <c r="W619" i="11"/>
  <c r="Y518" i="11"/>
  <c r="W518" i="11"/>
  <c r="W287" i="11"/>
  <c r="W108" i="11"/>
  <c r="W57" i="11"/>
  <c r="W774" i="11"/>
  <c r="Y567" i="11"/>
  <c r="X567" i="11"/>
  <c r="Y209" i="11"/>
  <c r="X209" i="11"/>
  <c r="V171" i="11"/>
  <c r="X169" i="11"/>
  <c r="V170" i="11"/>
  <c r="Y169" i="11"/>
  <c r="W230" i="11"/>
  <c r="W23" i="11"/>
  <c r="W201" i="11"/>
  <c r="W234" i="11"/>
  <c r="W246" i="11"/>
  <c r="W768" i="11"/>
  <c r="W1501" i="11"/>
  <c r="Y1778" i="11"/>
  <c r="X1778" i="11"/>
  <c r="X1677" i="11"/>
  <c r="W1677" i="11"/>
  <c r="Y1677" i="11"/>
  <c r="X1706" i="11"/>
  <c r="Y1706" i="11"/>
  <c r="W1706" i="11"/>
  <c r="Y1214" i="11"/>
  <c r="W1214" i="11"/>
  <c r="X1214" i="11"/>
  <c r="Y1301" i="11"/>
  <c r="W1301" i="11"/>
  <c r="X1301" i="11"/>
  <c r="Y1265" i="11"/>
  <c r="V1266" i="11"/>
  <c r="V1269" i="11"/>
  <c r="V1268" i="11"/>
  <c r="V1267" i="11"/>
  <c r="X1265" i="11"/>
  <c r="W1154" i="11"/>
  <c r="Y1154" i="11"/>
  <c r="X1154" i="11"/>
  <c r="Y1006" i="11"/>
  <c r="X1006" i="11"/>
  <c r="W1006" i="11"/>
  <c r="Y1068" i="11"/>
  <c r="V1070" i="11"/>
  <c r="V1069" i="11"/>
  <c r="X1068" i="11"/>
  <c r="V1071" i="11"/>
  <c r="Y1063" i="11"/>
  <c r="Y993" i="11"/>
  <c r="X993" i="11"/>
  <c r="W993" i="11"/>
  <c r="Y839" i="11"/>
  <c r="X839" i="11"/>
  <c r="X834" i="11"/>
  <c r="Y834" i="11"/>
  <c r="W834" i="11"/>
  <c r="Y1007" i="11"/>
  <c r="X1007" i="11"/>
  <c r="W1007" i="11"/>
  <c r="Y920" i="11"/>
  <c r="X920" i="11"/>
  <c r="W920" i="11"/>
  <c r="X722" i="11"/>
  <c r="Y722" i="11"/>
  <c r="W722" i="11"/>
  <c r="Y641" i="11"/>
  <c r="W641" i="11"/>
  <c r="X641" i="11"/>
  <c r="Y177" i="11"/>
  <c r="X177" i="11"/>
  <c r="W177" i="11"/>
  <c r="Y24" i="11"/>
  <c r="X24" i="11"/>
  <c r="Y633" i="11"/>
  <c r="W633" i="11"/>
  <c r="X633" i="11"/>
  <c r="Y239" i="11"/>
  <c r="W239" i="11"/>
  <c r="X239" i="11"/>
  <c r="Y167" i="11"/>
  <c r="X167" i="11"/>
  <c r="W167" i="11"/>
  <c r="V385" i="11"/>
  <c r="Y384" i="11"/>
  <c r="V386" i="11"/>
  <c r="X384" i="11"/>
  <c r="V387" i="11"/>
  <c r="W384" i="11"/>
  <c r="Y604" i="11"/>
  <c r="X604" i="11"/>
  <c r="Y426" i="11"/>
  <c r="X426" i="11"/>
  <c r="W426" i="11"/>
  <c r="Y212" i="11"/>
  <c r="X212" i="11"/>
  <c r="X105" i="11"/>
  <c r="W105" i="11"/>
  <c r="Y105" i="11"/>
  <c r="X90" i="11"/>
  <c r="W90" i="11"/>
  <c r="Y90" i="11"/>
  <c r="Y63" i="11"/>
  <c r="X63" i="11"/>
  <c r="W29" i="11"/>
  <c r="Y29" i="11"/>
  <c r="X29" i="11"/>
  <c r="X19" i="11"/>
  <c r="W19" i="11"/>
  <c r="Y19" i="11"/>
  <c r="Y469" i="11"/>
  <c r="X469" i="11"/>
  <c r="W469" i="11"/>
  <c r="X1721" i="11"/>
  <c r="X1734" i="11"/>
  <c r="W1734" i="11"/>
  <c r="Y1734" i="11"/>
  <c r="W1778" i="11"/>
  <c r="X1655" i="11"/>
  <c r="Y1655" i="11"/>
  <c r="W1655" i="11"/>
  <c r="V1617" i="11"/>
  <c r="X1615" i="11"/>
  <c r="V1618" i="11"/>
  <c r="V1616" i="11"/>
  <c r="Y1615" i="11"/>
  <c r="V1620" i="11"/>
  <c r="W1615" i="11"/>
  <c r="V1619" i="11"/>
  <c r="V1557" i="11"/>
  <c r="X1555" i="11"/>
  <c r="V1559" i="11"/>
  <c r="V1560" i="11"/>
  <c r="V1558" i="11"/>
  <c r="W1555" i="11"/>
  <c r="V1556" i="11"/>
  <c r="Y1555" i="11"/>
  <c r="V1593" i="11"/>
  <c r="X1591" i="11"/>
  <c r="V1594" i="11"/>
  <c r="V1592" i="11"/>
  <c r="Y1591" i="11"/>
  <c r="V1596" i="11"/>
  <c r="W1591" i="11"/>
  <c r="V1595" i="11"/>
  <c r="Y1323" i="11"/>
  <c r="X1323" i="11"/>
  <c r="W1323" i="11"/>
  <c r="X1547" i="11"/>
  <c r="W1547" i="11"/>
  <c r="Y1547" i="11"/>
  <c r="V1740" i="11"/>
  <c r="V1739" i="11"/>
  <c r="V1738" i="11"/>
  <c r="V1737" i="11"/>
  <c r="V1736" i="11"/>
  <c r="X1735" i="11"/>
  <c r="W1735" i="11"/>
  <c r="Y1735" i="11"/>
  <c r="V1539" i="11"/>
  <c r="X1537" i="11"/>
  <c r="V1541" i="11"/>
  <c r="V1540" i="11"/>
  <c r="V1542" i="11"/>
  <c r="W1537" i="11"/>
  <c r="V1538" i="11"/>
  <c r="Y1537" i="11"/>
  <c r="Y1452" i="11"/>
  <c r="W1452" i="11"/>
  <c r="X1452" i="11"/>
  <c r="Y1428" i="11"/>
  <c r="W1428" i="11"/>
  <c r="X1428" i="11"/>
  <c r="W1395" i="11"/>
  <c r="Y1395" i="11"/>
  <c r="X1395" i="11"/>
  <c r="X1312" i="11"/>
  <c r="W1312" i="11"/>
  <c r="Y1312" i="11"/>
  <c r="Y1252" i="11"/>
  <c r="V1253" i="11"/>
  <c r="V1255" i="11"/>
  <c r="V1254" i="11"/>
  <c r="X1252" i="11"/>
  <c r="Y1188" i="11"/>
  <c r="V1189" i="11"/>
  <c r="V1191" i="11"/>
  <c r="V1190" i="11"/>
  <c r="X1188" i="11"/>
  <c r="Y1281" i="11"/>
  <c r="W1281" i="11"/>
  <c r="X1281" i="11"/>
  <c r="Y1156" i="11"/>
  <c r="V1157" i="11"/>
  <c r="X1156" i="11"/>
  <c r="V1159" i="11"/>
  <c r="V1158" i="11"/>
  <c r="Y1012" i="11"/>
  <c r="V1015" i="11"/>
  <c r="V1013" i="11"/>
  <c r="X1012" i="11"/>
  <c r="V1014" i="11"/>
  <c r="W1012" i="11"/>
  <c r="Y997" i="11"/>
  <c r="X997" i="11"/>
  <c r="W997" i="11"/>
  <c r="Y1132" i="11"/>
  <c r="V1134" i="11"/>
  <c r="V1133" i="11"/>
  <c r="X1132" i="11"/>
  <c r="V1135" i="11"/>
  <c r="Y925" i="11"/>
  <c r="X925" i="11"/>
  <c r="W925" i="11"/>
  <c r="Y868" i="11"/>
  <c r="X868" i="11"/>
  <c r="W868" i="11"/>
  <c r="Y860" i="11"/>
  <c r="X860" i="11"/>
  <c r="W860" i="11"/>
  <c r="W852" i="11"/>
  <c r="X852" i="11"/>
  <c r="Y852" i="11"/>
  <c r="W844" i="11"/>
  <c r="X844" i="11"/>
  <c r="Y844" i="11"/>
  <c r="W836" i="11"/>
  <c r="X836" i="11"/>
  <c r="Y836" i="11"/>
  <c r="W828" i="11"/>
  <c r="X828" i="11"/>
  <c r="Y828" i="11"/>
  <c r="W820" i="11"/>
  <c r="X820" i="11"/>
  <c r="Y820" i="11"/>
  <c r="W812" i="11"/>
  <c r="X812" i="11"/>
  <c r="Y812" i="11"/>
  <c r="W804" i="11"/>
  <c r="X804" i="11"/>
  <c r="Y804" i="11"/>
  <c r="W796" i="11"/>
  <c r="X796" i="11"/>
  <c r="Y796" i="11"/>
  <c r="W788" i="11"/>
  <c r="X788" i="11"/>
  <c r="Y788" i="11"/>
  <c r="W780" i="11"/>
  <c r="X780" i="11"/>
  <c r="Y780" i="11"/>
  <c r="W772" i="11"/>
  <c r="X772" i="11"/>
  <c r="Y772" i="11"/>
  <c r="W764" i="11"/>
  <c r="X764" i="11"/>
  <c r="Y764" i="11"/>
  <c r="W756" i="11"/>
  <c r="X756" i="11"/>
  <c r="Y756" i="11"/>
  <c r="W748" i="11"/>
  <c r="X748" i="11"/>
  <c r="Y748" i="11"/>
  <c r="W740" i="11"/>
  <c r="X740" i="11"/>
  <c r="Y740" i="11"/>
  <c r="W732" i="11"/>
  <c r="X732" i="11"/>
  <c r="Y732" i="11"/>
  <c r="W724" i="11"/>
  <c r="X724" i="11"/>
  <c r="Y724" i="11"/>
  <c r="W716" i="11"/>
  <c r="X716" i="11"/>
  <c r="Y716" i="11"/>
  <c r="Y1011" i="11"/>
  <c r="X1011" i="11"/>
  <c r="W1011" i="11"/>
  <c r="Y743" i="11"/>
  <c r="X743" i="11"/>
  <c r="X738" i="11"/>
  <c r="Y738" i="11"/>
  <c r="W738" i="11"/>
  <c r="X1334" i="11"/>
  <c r="W1334" i="11"/>
  <c r="Y1334" i="11"/>
  <c r="Y1091" i="11"/>
  <c r="W1091" i="11"/>
  <c r="X1091" i="11"/>
  <c r="Y847" i="11"/>
  <c r="X847" i="11"/>
  <c r="X842" i="11"/>
  <c r="Y842" i="11"/>
  <c r="W842" i="11"/>
  <c r="Y815" i="11"/>
  <c r="X815" i="11"/>
  <c r="X810" i="11"/>
  <c r="Y810" i="11"/>
  <c r="W810" i="11"/>
  <c r="Y783" i="11"/>
  <c r="X783" i="11"/>
  <c r="X778" i="11"/>
  <c r="Y778" i="11"/>
  <c r="W778" i="11"/>
  <c r="Y751" i="11"/>
  <c r="X751" i="11"/>
  <c r="X746" i="11"/>
  <c r="Y746" i="11"/>
  <c r="W746" i="11"/>
  <c r="Y719" i="11"/>
  <c r="X719" i="11"/>
  <c r="X714" i="11"/>
  <c r="Y714" i="11"/>
  <c r="W714" i="11"/>
  <c r="Y735" i="11"/>
  <c r="X735" i="11"/>
  <c r="X730" i="11"/>
  <c r="Y730" i="11"/>
  <c r="W730" i="11"/>
  <c r="W670" i="11"/>
  <c r="X670" i="11"/>
  <c r="Y670" i="11"/>
  <c r="W662" i="11"/>
  <c r="X662" i="11"/>
  <c r="Y662" i="11"/>
  <c r="W654" i="11"/>
  <c r="X654" i="11"/>
  <c r="Y654" i="11"/>
  <c r="W536" i="11"/>
  <c r="X536" i="11"/>
  <c r="Y536" i="11"/>
  <c r="Y855" i="11"/>
  <c r="X855" i="11"/>
  <c r="W783" i="11"/>
  <c r="W604" i="11"/>
  <c r="Y582" i="11"/>
  <c r="X582" i="11"/>
  <c r="Y558" i="11"/>
  <c r="X558" i="11"/>
  <c r="X492" i="11"/>
  <c r="W492" i="11"/>
  <c r="Y492" i="11"/>
  <c r="Y449" i="11"/>
  <c r="X449" i="11"/>
  <c r="W449" i="11"/>
  <c r="V273" i="11"/>
  <c r="V274" i="11"/>
  <c r="X272" i="11"/>
  <c r="Y272" i="11"/>
  <c r="W272" i="11"/>
  <c r="Y71" i="11"/>
  <c r="X71" i="11"/>
  <c r="V147" i="11"/>
  <c r="Y146" i="11"/>
  <c r="V148" i="11"/>
  <c r="W146" i="11"/>
  <c r="X146" i="11"/>
  <c r="V141" i="11"/>
  <c r="Y140" i="11"/>
  <c r="V142" i="11"/>
  <c r="W140" i="11"/>
  <c r="X140" i="11"/>
  <c r="W461" i="11"/>
  <c r="X461" i="11"/>
  <c r="Y461" i="11"/>
  <c r="X754" i="11"/>
  <c r="Y754" i="11"/>
  <c r="W754" i="11"/>
  <c r="Y657" i="11"/>
  <c r="X657" i="11"/>
  <c r="X652" i="11"/>
  <c r="Y652" i="11"/>
  <c r="W652" i="11"/>
  <c r="Y432" i="11"/>
  <c r="X432" i="11"/>
  <c r="W432" i="11"/>
  <c r="Y424" i="11"/>
  <c r="X424" i="11"/>
  <c r="W424" i="11"/>
  <c r="Y416" i="11"/>
  <c r="X416" i="11"/>
  <c r="W416" i="11"/>
  <c r="Y217" i="11"/>
  <c r="X217" i="11"/>
  <c r="W217" i="11"/>
  <c r="V87" i="11"/>
  <c r="Y221" i="11"/>
  <c r="X221" i="11"/>
  <c r="W221" i="11"/>
  <c r="Y866" i="11"/>
  <c r="X866" i="11"/>
  <c r="X818" i="11"/>
  <c r="Y818" i="11"/>
  <c r="W818" i="11"/>
  <c r="Y637" i="11"/>
  <c r="W637" i="11"/>
  <c r="X637" i="11"/>
  <c r="Y448" i="11"/>
  <c r="X448" i="11"/>
  <c r="W448" i="11"/>
  <c r="V339" i="11"/>
  <c r="V335" i="11"/>
  <c r="Y334" i="11"/>
  <c r="V336" i="11"/>
  <c r="X334" i="11"/>
  <c r="V338" i="11"/>
  <c r="V337" i="11"/>
  <c r="W334" i="11"/>
  <c r="V180" i="11"/>
  <c r="Y179" i="11"/>
  <c r="W179" i="11"/>
  <c r="V181" i="11"/>
  <c r="X179" i="11"/>
  <c r="Y174" i="11"/>
  <c r="X174" i="11"/>
  <c r="W174" i="11"/>
  <c r="V168" i="11"/>
  <c r="V152" i="11"/>
  <c r="V258" i="11"/>
  <c r="V252" i="11"/>
  <c r="V268" i="11"/>
  <c r="V262" i="11"/>
  <c r="V172" i="11"/>
  <c r="V156" i="11"/>
  <c r="V133" i="11"/>
  <c r="X131" i="11"/>
  <c r="V263" i="11"/>
  <c r="V257" i="11"/>
  <c r="V164" i="11"/>
  <c r="Y131" i="11"/>
  <c r="V182" i="11"/>
  <c r="V267" i="11"/>
  <c r="V253" i="11"/>
  <c r="V132" i="11"/>
  <c r="V160" i="11"/>
  <c r="W131" i="11"/>
  <c r="Y101" i="11"/>
  <c r="X101" i="11"/>
  <c r="W101" i="11"/>
  <c r="X85" i="11"/>
  <c r="W85" i="11"/>
  <c r="Y85" i="11"/>
  <c r="W81" i="11"/>
  <c r="X81" i="11"/>
  <c r="Y81" i="11"/>
  <c r="Y55" i="11"/>
  <c r="X55" i="11"/>
  <c r="W21" i="11"/>
  <c r="Y21" i="11"/>
  <c r="X21" i="11"/>
  <c r="X214" i="11"/>
  <c r="Y214" i="11"/>
  <c r="X198" i="11"/>
  <c r="Y198" i="11"/>
  <c r="Y45" i="11"/>
  <c r="X45" i="11"/>
  <c r="X786" i="11"/>
  <c r="Y786" i="11"/>
  <c r="W786" i="11"/>
  <c r="Y617" i="11"/>
  <c r="W617" i="11"/>
  <c r="X617" i="11"/>
  <c r="V455" i="11"/>
  <c r="Y454" i="11"/>
  <c r="V456" i="11"/>
  <c r="X454" i="11"/>
  <c r="V457" i="11"/>
  <c r="W454" i="11"/>
  <c r="Y441" i="11"/>
  <c r="X441" i="11"/>
  <c r="W441" i="11"/>
  <c r="Y231" i="11"/>
  <c r="W231" i="11"/>
  <c r="X231" i="11"/>
  <c r="W71" i="11"/>
  <c r="Y162" i="11"/>
  <c r="X162" i="11"/>
  <c r="W162" i="11"/>
  <c r="W45" i="11"/>
  <c r="Y1636" i="11"/>
  <c r="W1636" i="11"/>
  <c r="X1636" i="11"/>
  <c r="V1661" i="11"/>
  <c r="V1659" i="11"/>
  <c r="X1657" i="11"/>
  <c r="V1660" i="11"/>
  <c r="W1657" i="11"/>
  <c r="V1662" i="11"/>
  <c r="V1658" i="11"/>
  <c r="Y1657" i="11"/>
  <c r="Y1150" i="11"/>
  <c r="W1150" i="11"/>
  <c r="X1150" i="11"/>
  <c r="Y1204" i="11"/>
  <c r="V1205" i="11"/>
  <c r="V1207" i="11"/>
  <c r="V1206" i="11"/>
  <c r="X1204" i="11"/>
  <c r="Y945" i="11"/>
  <c r="X945" i="11"/>
  <c r="W945" i="11"/>
  <c r="Y893" i="11"/>
  <c r="X893" i="11"/>
  <c r="W893" i="11"/>
  <c r="X876" i="11"/>
  <c r="Y876" i="11"/>
  <c r="W876" i="11"/>
  <c r="W1119" i="11"/>
  <c r="X1119" i="11"/>
  <c r="Y1119" i="11"/>
  <c r="X826" i="11"/>
  <c r="Y826" i="11"/>
  <c r="W826" i="11"/>
  <c r="Y584" i="11"/>
  <c r="X584" i="11"/>
  <c r="W584" i="11"/>
  <c r="Y568" i="11"/>
  <c r="X568" i="11"/>
  <c r="W568" i="11"/>
  <c r="W524" i="11"/>
  <c r="X524" i="11"/>
  <c r="Y524" i="11"/>
  <c r="X676" i="11"/>
  <c r="Y676" i="11"/>
  <c r="W676" i="11"/>
  <c r="Y625" i="11"/>
  <c r="W625" i="11"/>
  <c r="X625" i="11"/>
  <c r="Y621" i="11"/>
  <c r="W621" i="11"/>
  <c r="X621" i="11"/>
  <c r="X599" i="11"/>
  <c r="Y599" i="11"/>
  <c r="W599" i="11"/>
  <c r="Y434" i="11"/>
  <c r="X434" i="11"/>
  <c r="W434" i="11"/>
  <c r="Y410" i="11"/>
  <c r="X410" i="11"/>
  <c r="V409" i="11"/>
  <c r="W410" i="11"/>
  <c r="Y248" i="11"/>
  <c r="X248" i="11"/>
  <c r="W248" i="11"/>
  <c r="W24" i="11"/>
  <c r="V1685" i="11"/>
  <c r="V1683" i="11"/>
  <c r="X1681" i="11"/>
  <c r="V1684" i="11"/>
  <c r="W1681" i="11"/>
  <c r="V1686" i="11"/>
  <c r="V1682" i="11"/>
  <c r="Y1681" i="11"/>
  <c r="W1611" i="11"/>
  <c r="Y1611" i="11"/>
  <c r="X1611" i="11"/>
  <c r="V1509" i="11"/>
  <c r="X1507" i="11"/>
  <c r="V1511" i="11"/>
  <c r="V1512" i="11"/>
  <c r="V1510" i="11"/>
  <c r="W1507" i="11"/>
  <c r="V1508" i="11"/>
  <c r="Y1507" i="11"/>
  <c r="V1533" i="11"/>
  <c r="X1531" i="11"/>
  <c r="V1535" i="11"/>
  <c r="V1536" i="11"/>
  <c r="W1531" i="11"/>
  <c r="V1532" i="11"/>
  <c r="Y1531" i="11"/>
  <c r="V1534" i="11"/>
  <c r="Y1419" i="11"/>
  <c r="W1419" i="11"/>
  <c r="X1419" i="11"/>
  <c r="V1355" i="11"/>
  <c r="W1351" i="11"/>
  <c r="V1353" i="11"/>
  <c r="V1356" i="11"/>
  <c r="V1354" i="11"/>
  <c r="X1351" i="11"/>
  <c r="V1352" i="11"/>
  <c r="Y1351" i="11"/>
  <c r="V1362" i="11"/>
  <c r="V1358" i="11"/>
  <c r="Y1357" i="11"/>
  <c r="V1359" i="11"/>
  <c r="V1361" i="11"/>
  <c r="V1360" i="11"/>
  <c r="X1357" i="11"/>
  <c r="Y1308" i="11"/>
  <c r="W1308" i="11"/>
  <c r="X1308" i="11"/>
  <c r="Y1198" i="11"/>
  <c r="W1198" i="11"/>
  <c r="X1198" i="11"/>
  <c r="Y1220" i="11"/>
  <c r="V1221" i="11"/>
  <c r="V1223" i="11"/>
  <c r="V1222" i="11"/>
  <c r="X1220" i="11"/>
  <c r="V1386" i="11"/>
  <c r="V1382" i="11"/>
  <c r="Y1381" i="11"/>
  <c r="V1383" i="11"/>
  <c r="V1385" i="11"/>
  <c r="V1384" i="11"/>
  <c r="X1381" i="11"/>
  <c r="Y1139" i="11"/>
  <c r="X1139" i="11"/>
  <c r="W1139" i="11"/>
  <c r="Y1379" i="11"/>
  <c r="W1379" i="11"/>
  <c r="X1379" i="11"/>
  <c r="V1055" i="11"/>
  <c r="Y1051" i="11"/>
  <c r="V1054" i="11"/>
  <c r="V1052" i="11"/>
  <c r="X1051" i="11"/>
  <c r="V1053" i="11"/>
  <c r="W1051" i="11"/>
  <c r="Y1100" i="11"/>
  <c r="V1102" i="11"/>
  <c r="V1101" i="11"/>
  <c r="V1103" i="11"/>
  <c r="X1100" i="11"/>
  <c r="Y1010" i="11"/>
  <c r="X1010" i="11"/>
  <c r="W1010" i="11"/>
  <c r="Y940" i="11"/>
  <c r="X940" i="11"/>
  <c r="W940" i="11"/>
  <c r="W1265" i="11"/>
  <c r="W1125" i="11"/>
  <c r="Y1125" i="11"/>
  <c r="X1125" i="11"/>
  <c r="Y1008" i="11"/>
  <c r="X1008" i="11"/>
  <c r="W1008" i="11"/>
  <c r="W1130" i="11"/>
  <c r="Y1130" i="11"/>
  <c r="X1130" i="11"/>
  <c r="Y807" i="11"/>
  <c r="X807" i="11"/>
  <c r="X802" i="11"/>
  <c r="Y802" i="11"/>
  <c r="W802" i="11"/>
  <c r="Y1043" i="11"/>
  <c r="V1046" i="11"/>
  <c r="V1044" i="11"/>
  <c r="X1043" i="11"/>
  <c r="V1045" i="11"/>
  <c r="W1043" i="11"/>
  <c r="X886" i="11"/>
  <c r="Y886" i="11"/>
  <c r="W488" i="11"/>
  <c r="X488" i="11"/>
  <c r="Y488" i="11"/>
  <c r="W1188" i="11"/>
  <c r="T932" i="11"/>
  <c r="Y799" i="11"/>
  <c r="X799" i="11"/>
  <c r="X794" i="11"/>
  <c r="Y794" i="11"/>
  <c r="W794" i="11"/>
  <c r="W609" i="11"/>
  <c r="X609" i="11"/>
  <c r="Y609" i="11"/>
  <c r="W601" i="11"/>
  <c r="X601" i="11"/>
  <c r="Y601" i="11"/>
  <c r="V516" i="11"/>
  <c r="V514" i="11"/>
  <c r="W512" i="11"/>
  <c r="X512" i="11"/>
  <c r="V517" i="11"/>
  <c r="V515" i="11"/>
  <c r="V513" i="11"/>
  <c r="Y512" i="11"/>
  <c r="X850" i="11"/>
  <c r="Y850" i="11"/>
  <c r="W850" i="11"/>
  <c r="Y612" i="11"/>
  <c r="X612" i="11"/>
  <c r="X607" i="11"/>
  <c r="Y607" i="11"/>
  <c r="W607" i="11"/>
  <c r="Y566" i="11"/>
  <c r="X566" i="11"/>
  <c r="Y383" i="11"/>
  <c r="X383" i="11"/>
  <c r="W383" i="11"/>
  <c r="V285" i="11"/>
  <c r="Y284" i="11"/>
  <c r="V286" i="11"/>
  <c r="X284" i="11"/>
  <c r="W284" i="11"/>
  <c r="Y124" i="11"/>
  <c r="X124" i="11"/>
  <c r="Y76" i="11"/>
  <c r="X76" i="11"/>
  <c r="X660" i="11"/>
  <c r="Y660" i="11"/>
  <c r="W660" i="11"/>
  <c r="Y759" i="11"/>
  <c r="X759" i="11"/>
  <c r="X615" i="11"/>
  <c r="Y615" i="11"/>
  <c r="W615" i="11"/>
  <c r="Y428" i="11"/>
  <c r="X428" i="11"/>
  <c r="W428" i="11"/>
  <c r="Y420" i="11"/>
  <c r="X420" i="11"/>
  <c r="W420" i="11"/>
  <c r="Y412" i="11"/>
  <c r="X412" i="11"/>
  <c r="W412" i="11"/>
  <c r="V158" i="11"/>
  <c r="Y157" i="11"/>
  <c r="V159" i="11"/>
  <c r="W157" i="11"/>
  <c r="X157" i="11"/>
  <c r="U68" i="11"/>
  <c r="V68" i="11" s="1"/>
  <c r="Y665" i="11"/>
  <c r="X665" i="11"/>
  <c r="Y1035" i="11"/>
  <c r="V1038" i="11"/>
  <c r="V1036" i="11"/>
  <c r="X1035" i="11"/>
  <c r="V1037" i="11"/>
  <c r="W1035" i="11"/>
  <c r="Y823" i="11"/>
  <c r="X823" i="11"/>
  <c r="W751" i="11"/>
  <c r="X668" i="11"/>
  <c r="Y668" i="11"/>
  <c r="W668" i="11"/>
  <c r="P1860" i="11"/>
  <c r="Y452" i="11"/>
  <c r="X452" i="11"/>
  <c r="W452" i="11"/>
  <c r="V351" i="11"/>
  <c r="V347" i="11"/>
  <c r="Y346" i="11"/>
  <c r="V348" i="11"/>
  <c r="X346" i="11"/>
  <c r="V350" i="11"/>
  <c r="V349" i="11"/>
  <c r="W346" i="11"/>
  <c r="Y196" i="11"/>
  <c r="X196" i="11"/>
  <c r="W196" i="11"/>
  <c r="Y178" i="11"/>
  <c r="W178" i="11"/>
  <c r="X178" i="11"/>
  <c r="X129" i="11"/>
  <c r="W129" i="11"/>
  <c r="Y129" i="11"/>
  <c r="W109" i="11"/>
  <c r="Y109" i="11"/>
  <c r="X109" i="11"/>
  <c r="Y93" i="11"/>
  <c r="X93" i="11"/>
  <c r="W93" i="11"/>
  <c r="W89" i="11"/>
  <c r="Y89" i="11"/>
  <c r="X89" i="11"/>
  <c r="W41" i="11"/>
  <c r="X41" i="11"/>
  <c r="Y41" i="11"/>
  <c r="X206" i="11"/>
  <c r="Y206" i="11"/>
  <c r="V190" i="11"/>
  <c r="Y173" i="11"/>
  <c r="X173" i="11"/>
  <c r="W173" i="11"/>
  <c r="Y61" i="11"/>
  <c r="X61" i="11"/>
  <c r="Y791" i="11"/>
  <c r="X791" i="11"/>
  <c r="W657" i="11"/>
  <c r="Y447" i="11"/>
  <c r="X447" i="11"/>
  <c r="W447" i="11"/>
  <c r="Y235" i="11"/>
  <c r="W235" i="11"/>
  <c r="X235" i="11"/>
  <c r="Y227" i="11"/>
  <c r="X227" i="11"/>
  <c r="W227" i="11"/>
  <c r="W63" i="11"/>
  <c r="W55" i="11"/>
  <c r="W61" i="11"/>
  <c r="W1588" i="11"/>
  <c r="Y1588" i="11"/>
  <c r="X1588" i="11"/>
  <c r="Y1554" i="11"/>
  <c r="W1554" i="11"/>
  <c r="X1554" i="11"/>
  <c r="V1605" i="11"/>
  <c r="X1603" i="11"/>
  <c r="V1606" i="11"/>
  <c r="V1604" i="11"/>
  <c r="Y1603" i="11"/>
  <c r="V1608" i="11"/>
  <c r="W1603" i="11"/>
  <c r="V1607" i="11"/>
  <c r="W1167" i="11"/>
  <c r="Y1167" i="11"/>
  <c r="X1167" i="11"/>
  <c r="Y711" i="11"/>
  <c r="X711" i="11"/>
  <c r="W1079" i="11"/>
  <c r="Y1079" i="11"/>
  <c r="X1079" i="11"/>
  <c r="Y831" i="11"/>
  <c r="X831" i="11"/>
  <c r="Y576" i="11"/>
  <c r="X576" i="11"/>
  <c r="W576" i="11"/>
  <c r="Y560" i="11"/>
  <c r="X560" i="11"/>
  <c r="W560" i="11"/>
  <c r="W540" i="11"/>
  <c r="X540" i="11"/>
  <c r="Y540" i="11"/>
  <c r="Y574" i="11"/>
  <c r="X574" i="11"/>
  <c r="Y36" i="11"/>
  <c r="X36" i="11"/>
  <c r="X878" i="11"/>
  <c r="Y878" i="11"/>
  <c r="Y858" i="11"/>
  <c r="X858" i="11"/>
  <c r="Y295" i="11"/>
  <c r="W295" i="11"/>
  <c r="X295" i="11"/>
  <c r="V265" i="11"/>
  <c r="Y264" i="11"/>
  <c r="V266" i="11"/>
  <c r="X264" i="11"/>
  <c r="W264" i="11"/>
  <c r="Y224" i="11"/>
  <c r="X224" i="11"/>
  <c r="W224" i="11"/>
  <c r="Y176" i="11"/>
  <c r="X176" i="11"/>
  <c r="W176" i="11"/>
  <c r="Y418" i="11"/>
  <c r="X418" i="11"/>
  <c r="W418" i="11"/>
  <c r="X110" i="11"/>
  <c r="W110" i="11"/>
  <c r="Y110" i="11"/>
  <c r="Y53" i="11"/>
  <c r="X53" i="11"/>
  <c r="W212" i="11"/>
  <c r="W53" i="11"/>
  <c r="X1724" i="11"/>
  <c r="Y1724" i="11"/>
  <c r="W1724" i="11"/>
  <c r="X1565" i="11"/>
  <c r="W1565" i="11"/>
  <c r="Y1565" i="11"/>
  <c r="Y1236" i="11"/>
  <c r="V1237" i="11"/>
  <c r="V1239" i="11"/>
  <c r="V1238" i="11"/>
  <c r="X1236" i="11"/>
  <c r="Y1172" i="11"/>
  <c r="V1173" i="11"/>
  <c r="V1175" i="11"/>
  <c r="V1174" i="11"/>
  <c r="X1172" i="11"/>
  <c r="Y1081" i="11"/>
  <c r="W1081" i="11"/>
  <c r="X1081" i="11"/>
  <c r="Y1040" i="11"/>
  <c r="Y1009" i="11"/>
  <c r="X1009" i="11"/>
  <c r="W1009" i="11"/>
  <c r="Y1147" i="11"/>
  <c r="W1147" i="11"/>
  <c r="X1147" i="11"/>
  <c r="Y985" i="11"/>
  <c r="X985" i="11"/>
  <c r="W985" i="11"/>
  <c r="W1236" i="11"/>
  <c r="W1061" i="11"/>
  <c r="Y1061" i="11"/>
  <c r="X1061" i="11"/>
  <c r="X884" i="11"/>
  <c r="Y884" i="11"/>
  <c r="Y775" i="11"/>
  <c r="X775" i="11"/>
  <c r="X770" i="11"/>
  <c r="Y770" i="11"/>
  <c r="W770" i="11"/>
  <c r="Y989" i="11"/>
  <c r="X989" i="11"/>
  <c r="W989" i="11"/>
  <c r="W839" i="11"/>
  <c r="W807" i="11"/>
  <c r="W775" i="11"/>
  <c r="W711" i="11"/>
  <c r="W407" i="11"/>
  <c r="X407" i="11"/>
  <c r="Y407" i="11"/>
  <c r="W1100" i="11"/>
  <c r="W858" i="11"/>
  <c r="Y767" i="11"/>
  <c r="X767" i="11"/>
  <c r="X762" i="11"/>
  <c r="Y762" i="11"/>
  <c r="W762" i="11"/>
  <c r="Y706" i="11"/>
  <c r="X706" i="11"/>
  <c r="W706" i="11"/>
  <c r="Y702" i="11"/>
  <c r="X702" i="11"/>
  <c r="W702" i="11"/>
  <c r="Y698" i="11"/>
  <c r="X698" i="11"/>
  <c r="W698" i="11"/>
  <c r="Y694" i="11"/>
  <c r="X694" i="11"/>
  <c r="W694" i="11"/>
  <c r="Y690" i="11"/>
  <c r="X690" i="11"/>
  <c r="W690" i="11"/>
  <c r="Y686" i="11"/>
  <c r="X686" i="11"/>
  <c r="W686" i="11"/>
  <c r="Y682" i="11"/>
  <c r="X682" i="11"/>
  <c r="W682" i="11"/>
  <c r="Y678" i="11"/>
  <c r="X678" i="11"/>
  <c r="W678" i="11"/>
  <c r="W532" i="11"/>
  <c r="X532" i="11"/>
  <c r="Y532" i="11"/>
  <c r="Y727" i="11"/>
  <c r="X727" i="11"/>
  <c r="Y318" i="11"/>
  <c r="X318" i="11"/>
  <c r="W318" i="11"/>
  <c r="Y312" i="11"/>
  <c r="V314" i="11"/>
  <c r="X312" i="11"/>
  <c r="V316" i="11"/>
  <c r="V313" i="11"/>
  <c r="V315" i="11"/>
  <c r="W312" i="11"/>
  <c r="V298" i="11"/>
  <c r="X296" i="11"/>
  <c r="V297" i="11"/>
  <c r="Y296" i="11"/>
  <c r="W296" i="11"/>
  <c r="W847" i="11"/>
  <c r="Y451" i="11"/>
  <c r="X451" i="11"/>
  <c r="W451" i="11"/>
  <c r="W815" i="11"/>
  <c r="Y629" i="11"/>
  <c r="W629" i="11"/>
  <c r="X629" i="11"/>
  <c r="W566" i="11"/>
  <c r="Y450" i="11"/>
  <c r="X450" i="11"/>
  <c r="W450" i="11"/>
  <c r="Y437" i="11"/>
  <c r="X437" i="11"/>
  <c r="W437" i="11"/>
  <c r="V345" i="11"/>
  <c r="V341" i="11"/>
  <c r="Y340" i="11"/>
  <c r="V342" i="11"/>
  <c r="X340" i="11"/>
  <c r="V344" i="11"/>
  <c r="V343" i="11"/>
  <c r="W340" i="11"/>
  <c r="X247" i="11"/>
  <c r="Y247" i="11"/>
  <c r="W247" i="11"/>
  <c r="W886" i="11"/>
  <c r="Y551" i="11"/>
  <c r="W551" i="11"/>
  <c r="X551" i="11"/>
  <c r="Y430" i="11"/>
  <c r="X430" i="11"/>
  <c r="W430" i="11"/>
  <c r="Y422" i="11"/>
  <c r="X422" i="11"/>
  <c r="W422" i="11"/>
  <c r="Y414" i="11"/>
  <c r="X414" i="11"/>
  <c r="W414" i="11"/>
  <c r="X250" i="11"/>
  <c r="X204" i="11"/>
  <c r="Y204" i="11"/>
  <c r="W97" i="11"/>
  <c r="Y97" i="11"/>
  <c r="X97" i="11"/>
  <c r="Y47" i="11"/>
  <c r="X47" i="11"/>
  <c r="Y484" i="11"/>
  <c r="X484" i="11"/>
  <c r="W484" i="11"/>
  <c r="X260" i="11"/>
  <c r="W260" i="11"/>
  <c r="Y260" i="11"/>
  <c r="Y175" i="11"/>
  <c r="X175" i="11"/>
  <c r="W175" i="11"/>
  <c r="W47" i="11"/>
  <c r="W214" i="11"/>
  <c r="W124" i="11"/>
  <c r="W36" i="11"/>
  <c r="W1263" i="11" l="1"/>
  <c r="W1350" i="11"/>
  <c r="X1781" i="11"/>
  <c r="W1688" i="11"/>
  <c r="W1113" i="11"/>
  <c r="Y1289" i="11"/>
  <c r="Y1394" i="11"/>
  <c r="X1041" i="11"/>
  <c r="W1041" i="11"/>
  <c r="Y1750" i="11"/>
  <c r="X1394" i="11"/>
  <c r="X1213" i="11"/>
  <c r="Y1545" i="11"/>
  <c r="X1062" i="11"/>
  <c r="W861" i="11"/>
  <c r="Y861" i="11"/>
  <c r="W1040" i="11"/>
  <c r="X1263" i="11"/>
  <c r="W1545" i="11"/>
  <c r="X1032" i="11"/>
  <c r="X1073" i="11"/>
  <c r="X1696" i="11"/>
  <c r="Y1692" i="11"/>
  <c r="Y1530" i="11"/>
  <c r="W1288" i="11"/>
  <c r="Y1210" i="11"/>
  <c r="W1673" i="11"/>
  <c r="X1689" i="11"/>
  <c r="X1732" i="11"/>
  <c r="X1262" i="11"/>
  <c r="W1689" i="11"/>
  <c r="W184" i="11"/>
  <c r="Y1522" i="11"/>
  <c r="Y184" i="11"/>
  <c r="W1262" i="11"/>
  <c r="W1529" i="11"/>
  <c r="X1482" i="11"/>
  <c r="W1400" i="11"/>
  <c r="Y1529" i="11"/>
  <c r="Y144" i="11"/>
  <c r="X1780" i="11"/>
  <c r="Y1089" i="11"/>
  <c r="X1288" i="11"/>
  <c r="Y1544" i="11"/>
  <c r="W1780" i="11"/>
  <c r="W598" i="11"/>
  <c r="X1629" i="11"/>
  <c r="W1720" i="11"/>
  <c r="X1692" i="11"/>
  <c r="X139" i="11"/>
  <c r="X1400" i="11"/>
  <c r="X1769" i="11"/>
  <c r="W1097" i="11"/>
  <c r="Y1113" i="11"/>
  <c r="Y163" i="11"/>
  <c r="W1073" i="11"/>
  <c r="X1401" i="11"/>
  <c r="W1213" i="11"/>
  <c r="Y1514" i="11"/>
  <c r="W1769" i="11"/>
  <c r="Y136" i="11"/>
  <c r="W135" i="11"/>
  <c r="W1415" i="11"/>
  <c r="X1306" i="11"/>
  <c r="Y1580" i="11"/>
  <c r="Y139" i="11"/>
  <c r="W597" i="11"/>
  <c r="W283" i="11"/>
  <c r="W1109" i="11"/>
  <c r="W1479" i="11"/>
  <c r="W1582" i="11"/>
  <c r="X1793" i="11"/>
  <c r="X1530" i="11"/>
  <c r="Y1781" i="11"/>
  <c r="W229" i="11"/>
  <c r="Y504" i="11"/>
  <c r="Y1313" i="11"/>
  <c r="Y1731" i="11"/>
  <c r="Y1756" i="11"/>
  <c r="Y1105" i="11"/>
  <c r="Y1404" i="11"/>
  <c r="W1431" i="11"/>
  <c r="W1412" i="11"/>
  <c r="W592" i="11"/>
  <c r="W1368" i="11"/>
  <c r="X1397" i="11"/>
  <c r="Y1042" i="11"/>
  <c r="W1443" i="11"/>
  <c r="Y1370" i="11"/>
  <c r="Y1430" i="11"/>
  <c r="Y135" i="11"/>
  <c r="W1210" i="11"/>
  <c r="X1673" i="11"/>
  <c r="Y1440" i="11"/>
  <c r="Y1032" i="11"/>
  <c r="W1602" i="11"/>
  <c r="W1401" i="11"/>
  <c r="X1246" i="11"/>
  <c r="W1249" i="11"/>
  <c r="Y1517" i="11"/>
  <c r="W697" i="11"/>
  <c r="X1796" i="11"/>
  <c r="X282" i="11"/>
  <c r="W498" i="11"/>
  <c r="W1087" i="11"/>
  <c r="W1042" i="11"/>
  <c r="W1757" i="11"/>
  <c r="W1292" i="11"/>
  <c r="Y1437" i="11"/>
  <c r="W1517" i="11"/>
  <c r="Y306" i="11"/>
  <c r="X1768" i="11"/>
  <c r="X243" i="11"/>
  <c r="Y1442" i="11"/>
  <c r="Y1614" i="11"/>
  <c r="X1731" i="11"/>
  <c r="W1098" i="11"/>
  <c r="W1105" i="11"/>
  <c r="W1229" i="11"/>
  <c r="X1372" i="11"/>
  <c r="X1464" i="11"/>
  <c r="X144" i="11"/>
  <c r="Y1065" i="11"/>
  <c r="Y1243" i="11"/>
  <c r="X1313" i="11"/>
  <c r="Y1482" i="11"/>
  <c r="X1640" i="11"/>
  <c r="Y1720" i="11"/>
  <c r="W1804" i="11"/>
  <c r="X697" i="11"/>
  <c r="W1251" i="11"/>
  <c r="W1756" i="11"/>
  <c r="W594" i="11"/>
  <c r="Y1215" i="11"/>
  <c r="X1488" i="11"/>
  <c r="Y1757" i="11"/>
  <c r="W1241" i="11"/>
  <c r="X1371" i="11"/>
  <c r="W1719" i="11"/>
  <c r="Y1436" i="11"/>
  <c r="W1770" i="11"/>
  <c r="W1632" i="11"/>
  <c r="Y1793" i="11"/>
  <c r="X1242" i="11"/>
  <c r="W936" i="11"/>
  <c r="X1442" i="11"/>
  <c r="X1754" i="11"/>
  <c r="W395" i="11"/>
  <c r="Y1368" i="11"/>
  <c r="X1098" i="11"/>
  <c r="X1229" i="11"/>
  <c r="Y1443" i="11"/>
  <c r="Y1488" i="11"/>
  <c r="W1671" i="11"/>
  <c r="X1370" i="11"/>
  <c r="W271" i="11"/>
  <c r="W1086" i="11"/>
  <c r="Y1371" i="11"/>
  <c r="Y1479" i="11"/>
  <c r="Y1732" i="11"/>
  <c r="Y1719" i="11"/>
  <c r="W1182" i="11"/>
  <c r="Y1770" i="11"/>
  <c r="X1623" i="11"/>
  <c r="W1089" i="11"/>
  <c r="X1181" i="11"/>
  <c r="W1373" i="11"/>
  <c r="W1768" i="11"/>
  <c r="X1481" i="11"/>
  <c r="W1481" i="11"/>
  <c r="W1307" i="11"/>
  <c r="Y503" i="11"/>
  <c r="Y1242" i="11"/>
  <c r="Y1294" i="11"/>
  <c r="X1138" i="11"/>
  <c r="X1679" i="11"/>
  <c r="X187" i="11"/>
  <c r="X163" i="11"/>
  <c r="X1087" i="11"/>
  <c r="X1404" i="11"/>
  <c r="W1544" i="11"/>
  <c r="W1676" i="11"/>
  <c r="Y1424" i="11"/>
  <c r="Y1086" i="11"/>
  <c r="W1261" i="11"/>
  <c r="X1329" i="11"/>
  <c r="X1403" i="11"/>
  <c r="Y1350" i="11"/>
  <c r="Y1749" i="11"/>
  <c r="Y1496" i="11"/>
  <c r="W1696" i="11"/>
  <c r="W1522" i="11"/>
  <c r="W1294" i="11"/>
  <c r="X1097" i="11"/>
  <c r="W1766" i="11"/>
  <c r="X1671" i="11"/>
  <c r="X1217" i="11"/>
  <c r="X402" i="11"/>
  <c r="X1434" i="11"/>
  <c r="Y1638" i="11"/>
  <c r="X306" i="11"/>
  <c r="W1181" i="11"/>
  <c r="X1690" i="11"/>
  <c r="W151" i="11"/>
  <c r="Y498" i="11"/>
  <c r="X305" i="11"/>
  <c r="W464" i="11"/>
  <c r="X1258" i="11"/>
  <c r="Y1372" i="11"/>
  <c r="X1317" i="11"/>
  <c r="X1580" i="11"/>
  <c r="W1774" i="11"/>
  <c r="Y1497" i="11"/>
  <c r="X495" i="11"/>
  <c r="X1243" i="11"/>
  <c r="X1278" i="11"/>
  <c r="Y1491" i="11"/>
  <c r="Y1403" i="11"/>
  <c r="W1436" i="11"/>
  <c r="W1434" i="11"/>
  <c r="Y1670" i="11"/>
  <c r="Y1640" i="11"/>
  <c r="W1623" i="11"/>
  <c r="W1721" i="11"/>
  <c r="X1063" i="11"/>
  <c r="X1034" i="11"/>
  <c r="X1496" i="11"/>
  <c r="X1632" i="11"/>
  <c r="X1251" i="11"/>
  <c r="X713" i="11"/>
  <c r="W1654" i="11"/>
  <c r="Y1654" i="11"/>
  <c r="W1306" i="11"/>
  <c r="W1289" i="11"/>
  <c r="Y1602" i="11"/>
  <c r="W1776" i="11"/>
  <c r="W1090" i="11"/>
  <c r="Y1766" i="11"/>
  <c r="W188" i="11"/>
  <c r="Y151" i="11"/>
  <c r="Y1461" i="11"/>
  <c r="Y594" i="11"/>
  <c r="Y460" i="11"/>
  <c r="W1258" i="11"/>
  <c r="Y1774" i="11"/>
  <c r="W1497" i="11"/>
  <c r="W1299" i="11"/>
  <c r="W1491" i="11"/>
  <c r="W1514" i="11"/>
  <c r="W1670" i="11"/>
  <c r="Y1034" i="11"/>
  <c r="W1322" i="11"/>
  <c r="W1785" i="11"/>
  <c r="Y1796" i="11"/>
  <c r="W136" i="11"/>
  <c r="Y745" i="11"/>
  <c r="Y1804" i="11"/>
  <c r="X453" i="11"/>
  <c r="Y505" i="11"/>
  <c r="Y495" i="11"/>
  <c r="W465" i="11"/>
  <c r="Y453" i="11"/>
  <c r="X505" i="11"/>
  <c r="Y465" i="11"/>
  <c r="X504" i="11"/>
  <c r="W511" i="11"/>
  <c r="W304" i="11"/>
  <c r="Y1470" i="11"/>
  <c r="X1691" i="11"/>
  <c r="X1584" i="11"/>
  <c r="X396" i="11"/>
  <c r="W1464" i="11"/>
  <c r="X271" i="11"/>
  <c r="Y1094" i="11"/>
  <c r="W713" i="11"/>
  <c r="Y396" i="11"/>
  <c r="X1234" i="11"/>
  <c r="Y300" i="11"/>
  <c r="W1485" i="11"/>
  <c r="X1304" i="11"/>
  <c r="X1233" i="11"/>
  <c r="X1166" i="11"/>
  <c r="X1178" i="11"/>
  <c r="W1690" i="11"/>
  <c r="X1141" i="11"/>
  <c r="X1001" i="11"/>
  <c r="Y1397" i="11"/>
  <c r="W1143" i="11"/>
  <c r="X1023" i="11"/>
  <c r="Y251" i="11"/>
  <c r="X1373" i="11"/>
  <c r="X1307" i="11"/>
  <c r="Y1287" i="11"/>
  <c r="W1141" i="11"/>
  <c r="W503" i="11"/>
  <c r="Y390" i="11"/>
  <c r="X1090" i="11"/>
  <c r="Y1415" i="11"/>
  <c r="W1185" i="11"/>
  <c r="W1610" i="11"/>
  <c r="Y1752" i="11"/>
  <c r="W1231" i="11"/>
  <c r="W1440" i="11"/>
  <c r="X1733" i="11"/>
  <c r="Y464" i="11"/>
  <c r="W1123" i="11"/>
  <c r="Y1304" i="11"/>
  <c r="Y1676" i="11"/>
  <c r="X283" i="11"/>
  <c r="Y1217" i="11"/>
  <c r="Y304" i="11"/>
  <c r="W1183" i="11"/>
  <c r="Y1278" i="11"/>
  <c r="W1406" i="11"/>
  <c r="W1467" i="11"/>
  <c r="Y1451" i="11"/>
  <c r="W1578" i="11"/>
  <c r="W1712" i="11"/>
  <c r="Y1691" i="11"/>
  <c r="Y519" i="11"/>
  <c r="Y1584" i="11"/>
  <c r="X1833" i="11"/>
  <c r="Y406" i="11"/>
  <c r="Y1457" i="11"/>
  <c r="X1412" i="11"/>
  <c r="X501" i="11"/>
  <c r="X1446" i="11"/>
  <c r="Y1695" i="11"/>
  <c r="X519" i="11"/>
  <c r="W1282" i="11"/>
  <c r="Y276" i="11"/>
  <c r="X1111" i="11"/>
  <c r="Y1138" i="11"/>
  <c r="X1185" i="11"/>
  <c r="W1581" i="11"/>
  <c r="X1231" i="11"/>
  <c r="W270" i="11"/>
  <c r="X491" i="11"/>
  <c r="W903" i="11"/>
  <c r="X1123" i="11"/>
  <c r="Y1271" i="11"/>
  <c r="W1309" i="11"/>
  <c r="W1552" i="11"/>
  <c r="Y501" i="11"/>
  <c r="Y1023" i="11"/>
  <c r="Y1183" i="11"/>
  <c r="W1348" i="11"/>
  <c r="X1407" i="11"/>
  <c r="W1446" i="11"/>
  <c r="W1494" i="11"/>
  <c r="X1713" i="11"/>
  <c r="W1380" i="11"/>
  <c r="Y1234" i="11"/>
  <c r="W1642" i="11"/>
  <c r="X1456" i="11"/>
  <c r="X406" i="11"/>
  <c r="W1457" i="11"/>
  <c r="Y480" i="11"/>
  <c r="W1833" i="11"/>
  <c r="W480" i="11"/>
  <c r="W857" i="11"/>
  <c r="X1674" i="11"/>
  <c r="W1674" i="11"/>
  <c r="W319" i="11"/>
  <c r="W1215" i="11"/>
  <c r="X1309" i="11"/>
  <c r="X1241" i="11"/>
  <c r="X1059" i="11"/>
  <c r="W1166" i="11"/>
  <c r="Y1329" i="11"/>
  <c r="W1698" i="11"/>
  <c r="Y1713" i="11"/>
  <c r="X1656" i="11"/>
  <c r="X1641" i="11"/>
  <c r="Y463" i="11"/>
  <c r="Y499" i="11"/>
  <c r="X499" i="11"/>
  <c r="X390" i="11"/>
  <c r="X1085" i="11"/>
  <c r="X1341" i="11"/>
  <c r="X1418" i="11"/>
  <c r="W1614" i="11"/>
  <c r="Y1581" i="11"/>
  <c r="Y1502" i="11"/>
  <c r="Y1733" i="11"/>
  <c r="Y1374" i="11"/>
  <c r="Y1169" i="11"/>
  <c r="W1317" i="11"/>
  <c r="X1476" i="11"/>
  <c r="X1430" i="11"/>
  <c r="Y1552" i="11"/>
  <c r="X1065" i="11"/>
  <c r="Y1261" i="11"/>
  <c r="W1201" i="11"/>
  <c r="X1494" i="11"/>
  <c r="Y1582" i="11"/>
  <c r="Y1672" i="11"/>
  <c r="W1750" i="11"/>
  <c r="Y1702" i="11"/>
  <c r="X1638" i="11"/>
  <c r="X1749" i="11"/>
  <c r="X1704" i="11"/>
  <c r="Y1758" i="11"/>
  <c r="X1647" i="11"/>
  <c r="W251" i="11"/>
  <c r="X598" i="11"/>
  <c r="W1590" i="11"/>
  <c r="W1551" i="11"/>
  <c r="X1751" i="11"/>
  <c r="V949" i="11"/>
  <c r="Y949" i="11" s="1"/>
  <c r="W1486" i="11"/>
  <c r="V1822" i="11"/>
  <c r="X1822" i="11" s="1"/>
  <c r="X1432" i="11"/>
  <c r="Y1433" i="11"/>
  <c r="X936" i="11"/>
  <c r="X1635" i="11"/>
  <c r="Y270" i="11"/>
  <c r="Y491" i="11"/>
  <c r="Y1226" i="11"/>
  <c r="W1233" i="11"/>
  <c r="Y1249" i="11"/>
  <c r="Y1498" i="11"/>
  <c r="Y1751" i="11"/>
  <c r="W969" i="11"/>
  <c r="Y1546" i="11"/>
  <c r="X1336" i="11"/>
  <c r="Y1402" i="11"/>
  <c r="V1777" i="11"/>
  <c r="W1777" i="11" s="1"/>
  <c r="W1730" i="11"/>
  <c r="X1283" i="11"/>
  <c r="W1502" i="11"/>
  <c r="Y319" i="11"/>
  <c r="W1077" i="11"/>
  <c r="W1026" i="11"/>
  <c r="W402" i="11"/>
  <c r="W1390" i="11"/>
  <c r="X1201" i="11"/>
  <c r="X1450" i="11"/>
  <c r="W1656" i="11"/>
  <c r="X1708" i="11"/>
  <c r="Y1647" i="11"/>
  <c r="Y1503" i="11"/>
  <c r="W1599" i="11"/>
  <c r="Y1642" i="11"/>
  <c r="W463" i="11"/>
  <c r="X969" i="11"/>
  <c r="Y1328" i="11"/>
  <c r="Y229" i="11"/>
  <c r="W1432" i="11"/>
  <c r="Y857" i="11"/>
  <c r="Y1674" i="11"/>
  <c r="W1433" i="11"/>
  <c r="W1583" i="11"/>
  <c r="X1583" i="11"/>
  <c r="X1078" i="11"/>
  <c r="Y1418" i="11"/>
  <c r="W1600" i="11"/>
  <c r="Y1722" i="11"/>
  <c r="W1425" i="11"/>
  <c r="X1431" i="11"/>
  <c r="W901" i="11"/>
  <c r="X1292" i="11"/>
  <c r="W1287" i="11"/>
  <c r="W250" i="11"/>
  <c r="X597" i="11"/>
  <c r="W282" i="11"/>
  <c r="W1078" i="11"/>
  <c r="X1129" i="11"/>
  <c r="Y145" i="11"/>
  <c r="Y1129" i="11"/>
  <c r="Y1085" i="11"/>
  <c r="W1296" i="11"/>
  <c r="Y1643" i="11"/>
  <c r="X1722" i="11"/>
  <c r="W1571" i="11"/>
  <c r="Y1679" i="11"/>
  <c r="Y1688" i="11"/>
  <c r="W1413" i="11"/>
  <c r="Y1455" i="11"/>
  <c r="W460" i="11"/>
  <c r="W528" i="11"/>
  <c r="X1077" i="11"/>
  <c r="Y910" i="11"/>
  <c r="W1303" i="11"/>
  <c r="W1388" i="11"/>
  <c r="X1396" i="11"/>
  <c r="Y1748" i="11"/>
  <c r="Y1067" i="11"/>
  <c r="W1245" i="11"/>
  <c r="X1424" i="11"/>
  <c r="W1142" i="11"/>
  <c r="W1335" i="11"/>
  <c r="W1145" i="11"/>
  <c r="Y1059" i="11"/>
  <c r="X1348" i="11"/>
  <c r="X1467" i="11"/>
  <c r="X1520" i="11"/>
  <c r="X1695" i="11"/>
  <c r="W1672" i="11"/>
  <c r="X1182" i="11"/>
  <c r="X1451" i="11"/>
  <c r="X1601" i="11"/>
  <c r="X1776" i="11"/>
  <c r="Y1282" i="11"/>
  <c r="W1629" i="11"/>
  <c r="Y1487" i="11"/>
  <c r="X865" i="11"/>
  <c r="W1328" i="11"/>
  <c r="W661" i="11"/>
  <c r="W745" i="11"/>
  <c r="X1402" i="11"/>
  <c r="W1763" i="11"/>
  <c r="Y528" i="11"/>
  <c r="W1374" i="11"/>
  <c r="Y596" i="11"/>
  <c r="W1407" i="11"/>
  <c r="W1437" i="11"/>
  <c r="X1367" i="11"/>
  <c r="Y1499" i="11"/>
  <c r="Y1463" i="11"/>
  <c r="X1487" i="11"/>
  <c r="W1439" i="11"/>
  <c r="Y1439" i="11"/>
  <c r="X1319" i="11"/>
  <c r="W1725" i="11"/>
  <c r="X1730" i="11"/>
  <c r="X500" i="11"/>
  <c r="Y305" i="11"/>
  <c r="X1425" i="11"/>
  <c r="W1286" i="11"/>
  <c r="Y901" i="11"/>
  <c r="Y1093" i="11"/>
  <c r="X1299" i="11"/>
  <c r="Y1521" i="11"/>
  <c r="W1199" i="11"/>
  <c r="X1311" i="11"/>
  <c r="W1626" i="11"/>
  <c r="W1718" i="11"/>
  <c r="W496" i="11"/>
  <c r="Y918" i="11"/>
  <c r="X255" i="11"/>
  <c r="W1463" i="11"/>
  <c r="X553" i="11"/>
  <c r="Y661" i="11"/>
  <c r="X1630" i="11"/>
  <c r="Y1630" i="11"/>
  <c r="W294" i="11"/>
  <c r="X1643" i="11"/>
  <c r="Y1571" i="11"/>
  <c r="X1576" i="11"/>
  <c r="X1773" i="11"/>
  <c r="W1226" i="11"/>
  <c r="Y1302" i="11"/>
  <c r="W1700" i="11"/>
  <c r="X1203" i="11"/>
  <c r="X1801" i="11"/>
  <c r="X1218" i="11"/>
  <c r="Y1218" i="11"/>
  <c r="X1297" i="11"/>
  <c r="Y1297" i="11"/>
  <c r="W1297" i="11"/>
  <c r="Y1678" i="11"/>
  <c r="X1678" i="11"/>
  <c r="X150" i="11"/>
  <c r="W150" i="11"/>
  <c r="Y150" i="11"/>
  <c r="U590" i="11"/>
  <c r="Y1336" i="11"/>
  <c r="W1319" i="11"/>
  <c r="Y1523" i="11"/>
  <c r="W1001" i="11"/>
  <c r="Y308" i="11"/>
  <c r="X1026" i="11"/>
  <c r="Y1286" i="11"/>
  <c r="Y1331" i="11"/>
  <c r="X1145" i="11"/>
  <c r="X1377" i="11"/>
  <c r="Y1197" i="11"/>
  <c r="Y1420" i="11"/>
  <c r="W1624" i="11"/>
  <c r="W1311" i="11"/>
  <c r="Y1505" i="11"/>
  <c r="W1758" i="11"/>
  <c r="X1718" i="11"/>
  <c r="Y496" i="11"/>
  <c r="W1503" i="11"/>
  <c r="T1860" i="11"/>
  <c r="Y1030" i="11"/>
  <c r="Y188" i="11"/>
  <c r="W243" i="11"/>
  <c r="X294" i="11"/>
  <c r="W276" i="11"/>
  <c r="X400" i="11"/>
  <c r="X1444" i="11"/>
  <c r="X1527" i="11"/>
  <c r="X1600" i="11"/>
  <c r="X1725" i="11"/>
  <c r="X1680" i="11"/>
  <c r="Y1485" i="11"/>
  <c r="W1523" i="11"/>
  <c r="Y1195" i="11"/>
  <c r="Y1346" i="11"/>
  <c r="Y1576" i="11"/>
  <c r="Y1773" i="11"/>
  <c r="W500" i="11"/>
  <c r="X308" i="11"/>
  <c r="X511" i="11"/>
  <c r="W1302" i="11"/>
  <c r="W1398" i="11"/>
  <c r="W1426" i="11"/>
  <c r="W1445" i="11"/>
  <c r="Y1700" i="11"/>
  <c r="W302" i="11"/>
  <c r="X1245" i="11"/>
  <c r="X1331" i="11"/>
  <c r="X1714" i="11"/>
  <c r="X596" i="11"/>
  <c r="W444" i="11"/>
  <c r="X911" i="11"/>
  <c r="Y1109" i="11"/>
  <c r="W1377" i="11"/>
  <c r="W1197" i="11"/>
  <c r="X1298" i="11"/>
  <c r="X1420" i="11"/>
  <c r="Y1450" i="11"/>
  <c r="X1586" i="11"/>
  <c r="W1520" i="11"/>
  <c r="W1702" i="11"/>
  <c r="Y1149" i="11"/>
  <c r="X1199" i="11"/>
  <c r="W1276" i="11"/>
  <c r="Y1649" i="11"/>
  <c r="W1704" i="11"/>
  <c r="Y1473" i="11"/>
  <c r="W1631" i="11"/>
  <c r="X1664" i="11"/>
  <c r="Y934" i="11"/>
  <c r="Y1107" i="11"/>
  <c r="X1599" i="11"/>
  <c r="X881" i="11"/>
  <c r="W605" i="11"/>
  <c r="X1492" i="11"/>
  <c r="X1785" i="11"/>
  <c r="W401" i="11"/>
  <c r="W1030" i="11"/>
  <c r="Y1332" i="11"/>
  <c r="X1033" i="11"/>
  <c r="X1332" i="11"/>
  <c r="W1474" i="11"/>
  <c r="W1203" i="11"/>
  <c r="Y953" i="11"/>
  <c r="W1630" i="11"/>
  <c r="W1678" i="11"/>
  <c r="X494" i="11"/>
  <c r="W1202" i="11"/>
  <c r="Y1202" i="11"/>
  <c r="Y400" i="11"/>
  <c r="X1296" i="11"/>
  <c r="Y1680" i="11"/>
  <c r="Y592" i="11"/>
  <c r="W309" i="11"/>
  <c r="Y395" i="11"/>
  <c r="Y1075" i="11"/>
  <c r="Y397" i="11"/>
  <c r="W1337" i="11"/>
  <c r="X1413" i="11"/>
  <c r="Y1410" i="11"/>
  <c r="X1563" i="11"/>
  <c r="X1303" i="11"/>
  <c r="X1388" i="11"/>
  <c r="X1169" i="11"/>
  <c r="W1396" i="11"/>
  <c r="Y1408" i="11"/>
  <c r="Y1476" i="11"/>
  <c r="Y302" i="11"/>
  <c r="Y1142" i="11"/>
  <c r="W1298" i="11"/>
  <c r="X1575" i="11"/>
  <c r="Y1276" i="11"/>
  <c r="W1367" i="11"/>
  <c r="X1499" i="11"/>
  <c r="Y1712" i="11"/>
  <c r="X1473" i="11"/>
  <c r="W1598" i="11"/>
  <c r="Y1631" i="11"/>
  <c r="W1664" i="11"/>
  <c r="X934" i="11"/>
  <c r="W918" i="11"/>
  <c r="X1365" i="11"/>
  <c r="X557" i="11"/>
  <c r="Y494" i="11"/>
  <c r="Y881" i="11"/>
  <c r="V856" i="11"/>
  <c r="Y856" i="11" s="1"/>
  <c r="X605" i="11"/>
  <c r="W1438" i="11"/>
  <c r="Y280" i="11"/>
  <c r="X401" i="11"/>
  <c r="Y1456" i="11"/>
  <c r="W965" i="11"/>
  <c r="Y1438" i="11"/>
  <c r="X953" i="11"/>
  <c r="Y553" i="11"/>
  <c r="X1789" i="11"/>
  <c r="W1789" i="11"/>
  <c r="Y1500" i="11"/>
  <c r="X1500" i="11"/>
  <c r="X1314" i="11"/>
  <c r="Y1314" i="11"/>
  <c r="Y877" i="11"/>
  <c r="X877" i="11"/>
  <c r="W1271" i="11"/>
  <c r="W1641" i="11"/>
  <c r="X907" i="11"/>
  <c r="Y1492" i="11"/>
  <c r="W1033" i="11"/>
  <c r="W1801" i="11"/>
  <c r="X1330" i="11"/>
  <c r="W537" i="11"/>
  <c r="X537" i="11"/>
  <c r="X1524" i="11"/>
  <c r="W1524" i="11"/>
  <c r="Y1524" i="11"/>
  <c r="Y645" i="11"/>
  <c r="X645" i="11"/>
  <c r="X446" i="11"/>
  <c r="Y490" i="11"/>
  <c r="W1408" i="11"/>
  <c r="Y1445" i="11"/>
  <c r="X354" i="11"/>
  <c r="W1293" i="11"/>
  <c r="Y1106" i="11"/>
  <c r="W1521" i="11"/>
  <c r="X1569" i="11"/>
  <c r="W1422" i="11"/>
  <c r="Y1448" i="11"/>
  <c r="Y1601" i="11"/>
  <c r="X1646" i="11"/>
  <c r="Y1694" i="11"/>
  <c r="X1760" i="11"/>
  <c r="X1598" i="11"/>
  <c r="W1728" i="11"/>
  <c r="Y1122" i="11"/>
  <c r="W1546" i="11"/>
  <c r="W865" i="11"/>
  <c r="Y1703" i="11"/>
  <c r="X1480" i="11"/>
  <c r="W1480" i="11"/>
  <c r="Y1454" i="11"/>
  <c r="W1454" i="11"/>
  <c r="W1219" i="11"/>
  <c r="Y1219" i="11"/>
  <c r="X1219" i="11"/>
  <c r="X1458" i="11"/>
  <c r="W1458" i="11"/>
  <c r="W1235" i="11"/>
  <c r="Y1235" i="11"/>
  <c r="X1235" i="11"/>
  <c r="W1186" i="11"/>
  <c r="Y1186" i="11"/>
  <c r="X1186" i="11"/>
  <c r="W1118" i="11"/>
  <c r="W1259" i="11"/>
  <c r="Y1111" i="11"/>
  <c r="X1153" i="11"/>
  <c r="W1346" i="11"/>
  <c r="X1455" i="11"/>
  <c r="Y1118" i="11"/>
  <c r="Y1259" i="11"/>
  <c r="W1378" i="11"/>
  <c r="W1050" i="11"/>
  <c r="W1153" i="11"/>
  <c r="W510" i="11"/>
  <c r="W1653" i="11"/>
  <c r="Y1143" i="11"/>
  <c r="X1114" i="11"/>
  <c r="Y1398" i="11"/>
  <c r="W1110" i="11"/>
  <c r="Y1516" i="11"/>
  <c r="Y354" i="11"/>
  <c r="X444" i="11"/>
  <c r="Y1293" i="11"/>
  <c r="X1279" i="11"/>
  <c r="X1568" i="11"/>
  <c r="Y1612" i="11"/>
  <c r="X1772" i="11"/>
  <c r="X1743" i="11"/>
  <c r="X1149" i="11"/>
  <c r="Y1422" i="11"/>
  <c r="X1728" i="11"/>
  <c r="Y1146" i="11"/>
  <c r="Y1365" i="11"/>
  <c r="V616" i="11"/>
  <c r="X616" i="11" s="1"/>
  <c r="X1170" i="11"/>
  <c r="W1330" i="11"/>
  <c r="Y965" i="11"/>
  <c r="W645" i="11"/>
  <c r="Y537" i="11"/>
  <c r="Y1460" i="11"/>
  <c r="X1460" i="11"/>
  <c r="Y1779" i="11"/>
  <c r="W1779" i="11"/>
  <c r="W1484" i="11"/>
  <c r="X1484" i="11"/>
  <c r="Y1644" i="11"/>
  <c r="W1644" i="11"/>
  <c r="X1475" i="11"/>
  <c r="W1475" i="11"/>
  <c r="Y1475" i="11"/>
  <c r="Y1715" i="11"/>
  <c r="W1715" i="11"/>
  <c r="X1715" i="11"/>
  <c r="X445" i="11"/>
  <c r="W445" i="11"/>
  <c r="Y445" i="11"/>
  <c r="W1291" i="11"/>
  <c r="Y1058" i="11"/>
  <c r="X1701" i="11"/>
  <c r="W1667" i="11"/>
  <c r="X1653" i="11"/>
  <c r="X1177" i="11"/>
  <c r="Y446" i="11"/>
  <c r="Y392" i="11"/>
  <c r="Y903" i="11"/>
  <c r="W1114" i="11"/>
  <c r="W1516" i="11"/>
  <c r="W468" i="11"/>
  <c r="W1106" i="11"/>
  <c r="W1211" i="11"/>
  <c r="X1637" i="11"/>
  <c r="W1716" i="11"/>
  <c r="W1772" i="11"/>
  <c r="W1498" i="11"/>
  <c r="X1528" i="11"/>
  <c r="W1625" i="11"/>
  <c r="X1652" i="11"/>
  <c r="W1146" i="11"/>
  <c r="Y1590" i="11"/>
  <c r="W557" i="11"/>
  <c r="X1474" i="11"/>
  <c r="Y1484" i="11"/>
  <c r="X1779" i="11"/>
  <c r="W1805" i="11"/>
  <c r="Y1805" i="11"/>
  <c r="X1250" i="11"/>
  <c r="W1250" i="11"/>
  <c r="Y1250" i="11"/>
  <c r="Y1257" i="11"/>
  <c r="X1257" i="11"/>
  <c r="W1257" i="11"/>
  <c r="Y1797" i="11"/>
  <c r="X1797" i="11"/>
  <c r="W1797" i="11"/>
  <c r="W1462" i="11"/>
  <c r="X1462" i="11"/>
  <c r="W311" i="11"/>
  <c r="X1058" i="11"/>
  <c r="Y1701" i="11"/>
  <c r="X1461" i="11"/>
  <c r="Y1667" i="11"/>
  <c r="Y321" i="11"/>
  <c r="X1344" i="11"/>
  <c r="W1410" i="11"/>
  <c r="X673" i="11"/>
  <c r="Y1177" i="11"/>
  <c r="Y261" i="11"/>
  <c r="X490" i="11"/>
  <c r="X1162" i="11"/>
  <c r="Y1714" i="11"/>
  <c r="W1074" i="11"/>
  <c r="Y911" i="11"/>
  <c r="X1335" i="11"/>
  <c r="W1093" i="11"/>
  <c r="X905" i="11"/>
  <c r="X1247" i="11"/>
  <c r="Y1279" i="11"/>
  <c r="Y1421" i="11"/>
  <c r="X1406" i="11"/>
  <c r="Y1698" i="11"/>
  <c r="Y1716" i="11"/>
  <c r="W1743" i="11"/>
  <c r="Y1652" i="11"/>
  <c r="X1122" i="11"/>
  <c r="T1862" i="11"/>
  <c r="Y380" i="11"/>
  <c r="X1644" i="11"/>
  <c r="W1703" i="11"/>
  <c r="Y1462" i="11"/>
  <c r="W919" i="11"/>
  <c r="W1490" i="11"/>
  <c r="Y1472" i="11"/>
  <c r="X1472" i="11"/>
  <c r="Y467" i="11"/>
  <c r="W1227" i="11"/>
  <c r="Y1444" i="11"/>
  <c r="Y1635" i="11"/>
  <c r="W1628" i="11"/>
  <c r="W1752" i="11"/>
  <c r="Y510" i="11"/>
  <c r="W321" i="11"/>
  <c r="W1195" i="11"/>
  <c r="Y673" i="11"/>
  <c r="W261" i="11"/>
  <c r="W910" i="11"/>
  <c r="Y1117" i="11"/>
  <c r="X1165" i="11"/>
  <c r="X1416" i="11"/>
  <c r="Y1162" i="11"/>
  <c r="Y1426" i="11"/>
  <c r="W1748" i="11"/>
  <c r="X1067" i="11"/>
  <c r="Y1110" i="11"/>
  <c r="W905" i="11"/>
  <c r="Y1364" i="11"/>
  <c r="X1421" i="11"/>
  <c r="Y1586" i="11"/>
  <c r="Y1569" i="11"/>
  <c r="W1612" i="11"/>
  <c r="W1389" i="11"/>
  <c r="X1505" i="11"/>
  <c r="X1578" i="11"/>
  <c r="W1649" i="11"/>
  <c r="X1742" i="11"/>
  <c r="W1577" i="11"/>
  <c r="W1707" i="11"/>
  <c r="X1107" i="11"/>
  <c r="U649" i="11"/>
  <c r="U1860" i="11" s="1"/>
  <c r="X1490" i="11"/>
  <c r="Y1322" i="11"/>
  <c r="Y1486" i="11"/>
  <c r="W1472" i="11"/>
  <c r="Y977" i="11"/>
  <c r="W977" i="11"/>
  <c r="X977" i="11"/>
  <c r="X1493" i="11"/>
  <c r="Y1493" i="11"/>
  <c r="Y973" i="11"/>
  <c r="W973" i="11"/>
  <c r="X973" i="11"/>
  <c r="Y1347" i="11"/>
  <c r="W1347" i="11"/>
  <c r="Y1155" i="11"/>
  <c r="X1155" i="11"/>
  <c r="W1155" i="11"/>
  <c r="W1284" i="11"/>
  <c r="X1284" i="11"/>
  <c r="Y1284" i="11"/>
  <c r="Y311" i="11"/>
  <c r="Y1227" i="11"/>
  <c r="Y1291" i="11"/>
  <c r="Y1378" i="11"/>
  <c r="W1414" i="11"/>
  <c r="X1764" i="11"/>
  <c r="X1775" i="11"/>
  <c r="W187" i="11"/>
  <c r="W405" i="11"/>
  <c r="X392" i="11"/>
  <c r="X1117" i="11"/>
  <c r="W1095" i="11"/>
  <c r="X1151" i="11"/>
  <c r="W1745" i="11"/>
  <c r="X468" i="11"/>
  <c r="X301" i="11"/>
  <c r="X1194" i="11"/>
  <c r="Y1376" i="11"/>
  <c r="Y1247" i="11"/>
  <c r="Y1528" i="11"/>
  <c r="X509" i="11"/>
  <c r="X1340" i="11"/>
  <c r="X1744" i="11"/>
  <c r="W1170" i="11"/>
  <c r="X487" i="11"/>
  <c r="W279" i="11"/>
  <c r="X279" i="11"/>
  <c r="Y279" i="11"/>
  <c r="X1193" i="11"/>
  <c r="W1193" i="11"/>
  <c r="Y1193" i="11"/>
  <c r="X1225" i="11"/>
  <c r="Y1225" i="11"/>
  <c r="W1225" i="11"/>
  <c r="X467" i="11"/>
  <c r="X300" i="11"/>
  <c r="W145" i="11"/>
  <c r="X1273" i="11"/>
  <c r="W1527" i="11"/>
  <c r="Y1754" i="11"/>
  <c r="Y1775" i="11"/>
  <c r="X1628" i="11"/>
  <c r="X1763" i="11"/>
  <c r="X405" i="11"/>
  <c r="W1283" i="11"/>
  <c r="X1665" i="11"/>
  <c r="Y1416" i="11"/>
  <c r="Y1151" i="11"/>
  <c r="Y508" i="11"/>
  <c r="Y301" i="11"/>
  <c r="W1094" i="11"/>
  <c r="Y1194" i="11"/>
  <c r="W1376" i="11"/>
  <c r="X1029" i="11"/>
  <c r="W1470" i="11"/>
  <c r="Y1562" i="11"/>
  <c r="X1709" i="11"/>
  <c r="Y1637" i="11"/>
  <c r="X1761" i="11"/>
  <c r="Y1755" i="11"/>
  <c r="W1272" i="11"/>
  <c r="Y1392" i="11"/>
  <c r="Y1553" i="11"/>
  <c r="W907" i="11"/>
  <c r="X1380" i="11"/>
  <c r="X1762" i="11"/>
  <c r="X1347" i="11"/>
  <c r="X280" i="11"/>
  <c r="Y487" i="11"/>
  <c r="Y919" i="11"/>
  <c r="Y1526" i="11"/>
  <c r="X1526" i="11"/>
  <c r="W1526" i="11"/>
  <c r="W1548" i="11"/>
  <c r="Y1548" i="11"/>
  <c r="X917" i="11"/>
  <c r="W917" i="11"/>
  <c r="Y917" i="11"/>
  <c r="X1163" i="11"/>
  <c r="Y1163" i="11"/>
  <c r="W1163" i="11"/>
  <c r="X291" i="11"/>
  <c r="W291" i="11"/>
  <c r="Y291" i="11"/>
  <c r="Y1066" i="11"/>
  <c r="W1273" i="11"/>
  <c r="Y309" i="11"/>
  <c r="Y1338" i="11"/>
  <c r="Y1366" i="11"/>
  <c r="X1325" i="11"/>
  <c r="W593" i="11"/>
  <c r="Y1074" i="11"/>
  <c r="Y1131" i="11"/>
  <c r="X1211" i="11"/>
  <c r="X1048" i="11"/>
  <c r="Y1230" i="11"/>
  <c r="W1364" i="11"/>
  <c r="X1624" i="11"/>
  <c r="X1726" i="11"/>
  <c r="X1755" i="11"/>
  <c r="X1389" i="11"/>
  <c r="Y1587" i="11"/>
  <c r="W1553" i="11"/>
  <c r="Y1577" i="11"/>
  <c r="X113" i="11"/>
  <c r="Y255" i="11"/>
  <c r="W1427" i="11"/>
  <c r="Y1427" i="11"/>
  <c r="X1427" i="11"/>
  <c r="X508" i="11"/>
  <c r="Y1127" i="11"/>
  <c r="Y1029" i="11"/>
  <c r="W1587" i="11"/>
  <c r="X1625" i="11"/>
  <c r="X1694" i="11"/>
  <c r="W1727" i="11"/>
  <c r="X185" i="11"/>
  <c r="Y459" i="11"/>
  <c r="Y1050" i="11"/>
  <c r="X1414" i="11"/>
  <c r="Y1161" i="11"/>
  <c r="W1341" i="11"/>
  <c r="Y1764" i="11"/>
  <c r="X1746" i="11"/>
  <c r="X1710" i="11"/>
  <c r="X1075" i="11"/>
  <c r="X1337" i="11"/>
  <c r="Y1344" i="11"/>
  <c r="W1165" i="11"/>
  <c r="W1082" i="11"/>
  <c r="X1366" i="11"/>
  <c r="Y1325" i="11"/>
  <c r="W1449" i="11"/>
  <c r="Y1391" i="11"/>
  <c r="Y310" i="11"/>
  <c r="Y593" i="11"/>
  <c r="W320" i="11"/>
  <c r="W1127" i="11"/>
  <c r="W1230" i="11"/>
  <c r="X1343" i="11"/>
  <c r="W1562" i="11"/>
  <c r="Y1575" i="11"/>
  <c r="Y1568" i="11"/>
  <c r="Y1726" i="11"/>
  <c r="Y1648" i="11"/>
  <c r="W1761" i="11"/>
  <c r="Y1246" i="11"/>
  <c r="Y1272" i="11"/>
  <c r="W1342" i="11"/>
  <c r="X1448" i="11"/>
  <c r="Y1626" i="11"/>
  <c r="W1646" i="11"/>
  <c r="Y1760" i="11"/>
  <c r="W1742" i="11"/>
  <c r="Y1707" i="11"/>
  <c r="X1551" i="11"/>
  <c r="W1762" i="11"/>
  <c r="W1744" i="11"/>
  <c r="W380" i="11"/>
  <c r="W166" i="11"/>
  <c r="Y166" i="11"/>
  <c r="X166" i="11"/>
  <c r="Y1274" i="11"/>
  <c r="W1274" i="11"/>
  <c r="X1274" i="11"/>
  <c r="X909" i="11"/>
  <c r="Y909" i="11"/>
  <c r="Y1126" i="11"/>
  <c r="W1126" i="11"/>
  <c r="X1126" i="11"/>
  <c r="W256" i="11"/>
  <c r="Y256" i="11"/>
  <c r="X256" i="11"/>
  <c r="Y1589" i="11"/>
  <c r="X1589" i="11"/>
  <c r="W1589" i="11"/>
  <c r="Y1326" i="11"/>
  <c r="W1326" i="11"/>
  <c r="X1326" i="11"/>
  <c r="X1650" i="11"/>
  <c r="Y1650" i="11"/>
  <c r="W1650" i="11"/>
  <c r="X1324" i="11"/>
  <c r="Y1324" i="11"/>
  <c r="W1324" i="11"/>
  <c r="Y906" i="11"/>
  <c r="X906" i="11"/>
  <c r="W906" i="11"/>
  <c r="W185" i="11"/>
  <c r="W459" i="11"/>
  <c r="X397" i="11"/>
  <c r="V649" i="11"/>
  <c r="W649" i="11" s="1"/>
  <c r="X1179" i="11"/>
  <c r="Y1082" i="11"/>
  <c r="Y1449" i="11"/>
  <c r="Y1727" i="11"/>
  <c r="W1574" i="11"/>
  <c r="Y1574" i="11"/>
  <c r="W1161" i="11"/>
  <c r="W1710" i="11"/>
  <c r="W1391" i="11"/>
  <c r="Y320" i="11"/>
  <c r="W1343" i="11"/>
  <c r="X1648" i="11"/>
  <c r="Y1342" i="11"/>
  <c r="X1392" i="11"/>
  <c r="X1572" i="11"/>
  <c r="Y1572" i="11"/>
  <c r="W1572" i="11"/>
  <c r="Y1171" i="11"/>
  <c r="W1171" i="11"/>
  <c r="W1746" i="11"/>
  <c r="W1179" i="11"/>
  <c r="X310" i="11"/>
  <c r="X1171" i="11"/>
  <c r="W1570" i="11"/>
  <c r="Y1570" i="11"/>
  <c r="X1570" i="11"/>
  <c r="Y1550" i="11"/>
  <c r="X1550" i="11"/>
  <c r="X1083" i="11"/>
  <c r="W1083" i="11"/>
  <c r="Y1083" i="11"/>
  <c r="X1697" i="11"/>
  <c r="Y1697" i="11"/>
  <c r="W1697" i="11"/>
  <c r="W170" i="11"/>
  <c r="Y170" i="11"/>
  <c r="X170" i="11"/>
  <c r="W1320" i="11"/>
  <c r="Y1320" i="11"/>
  <c r="X1320" i="11"/>
  <c r="X1468" i="11"/>
  <c r="W1468" i="11"/>
  <c r="Y1468" i="11"/>
  <c r="X1506" i="11"/>
  <c r="W1506" i="11"/>
  <c r="Y1506" i="11"/>
  <c r="W902" i="11"/>
  <c r="Y902" i="11"/>
  <c r="X902" i="11"/>
  <c r="X1634" i="11"/>
  <c r="W1634" i="11"/>
  <c r="Y1634" i="11"/>
  <c r="Y155" i="11"/>
  <c r="X155" i="11"/>
  <c r="W155" i="11"/>
  <c r="X1668" i="11"/>
  <c r="W1668" i="11"/>
  <c r="Y1668" i="11"/>
  <c r="Y1049" i="11"/>
  <c r="W1049" i="11"/>
  <c r="X1049" i="11"/>
  <c r="W1566" i="11"/>
  <c r="X1566" i="11"/>
  <c r="Y1566" i="11"/>
  <c r="W1066" i="11"/>
  <c r="Y288" i="11"/>
  <c r="Y1048" i="11"/>
  <c r="X1390" i="11"/>
  <c r="W1515" i="11"/>
  <c r="Y1613" i="11"/>
  <c r="X1564" i="11"/>
  <c r="Y1178" i="11"/>
  <c r="Y509" i="11"/>
  <c r="Y113" i="11"/>
  <c r="X1518" i="11"/>
  <c r="Y1518" i="11"/>
  <c r="W1518" i="11"/>
  <c r="Y1027" i="11"/>
  <c r="W1027" i="11"/>
  <c r="X1027" i="11"/>
  <c r="X1610" i="11"/>
  <c r="W1563" i="11"/>
  <c r="Y1665" i="11"/>
  <c r="W1338" i="11"/>
  <c r="Y1095" i="11"/>
  <c r="Y1745" i="11"/>
  <c r="W288" i="11"/>
  <c r="W1131" i="11"/>
  <c r="Y1515" i="11"/>
  <c r="W1709" i="11"/>
  <c r="W1613" i="11"/>
  <c r="Y1708" i="11"/>
  <c r="Y1564" i="11"/>
  <c r="Y1340" i="11"/>
  <c r="X171" i="11"/>
  <c r="W171" i="11"/>
  <c r="Y171" i="11"/>
  <c r="X1316" i="11"/>
  <c r="W1316" i="11"/>
  <c r="Y1316" i="11"/>
  <c r="X1466" i="11"/>
  <c r="W1466" i="11"/>
  <c r="Y1466" i="11"/>
  <c r="Y1137" i="11"/>
  <c r="W1137" i="11"/>
  <c r="X1137" i="11"/>
  <c r="W935" i="11"/>
  <c r="Y935" i="11"/>
  <c r="X935" i="11"/>
  <c r="X1318" i="11"/>
  <c r="Y1318" i="11"/>
  <c r="W1318" i="11"/>
  <c r="X1469" i="11"/>
  <c r="W1469" i="11"/>
  <c r="Y1469" i="11"/>
  <c r="Y1504" i="11"/>
  <c r="X1504" i="11"/>
  <c r="W1504" i="11"/>
  <c r="Y154" i="11"/>
  <c r="W154" i="11"/>
  <c r="X154" i="11"/>
  <c r="X1666" i="11"/>
  <c r="Y1666" i="11"/>
  <c r="W1666" i="11"/>
  <c r="Y1174" i="11"/>
  <c r="X1174" i="11"/>
  <c r="W1174" i="11"/>
  <c r="X266" i="11"/>
  <c r="W266" i="11"/>
  <c r="Y266" i="11"/>
  <c r="W1044" i="11"/>
  <c r="X1044" i="11"/>
  <c r="Y1044" i="11"/>
  <c r="W1101" i="11"/>
  <c r="Y1101" i="11"/>
  <c r="X1101" i="11"/>
  <c r="Y1512" i="11"/>
  <c r="W1512" i="11"/>
  <c r="X1512" i="11"/>
  <c r="W1658" i="11"/>
  <c r="Y1658" i="11"/>
  <c r="X1658" i="11"/>
  <c r="W164" i="11"/>
  <c r="X164" i="11"/>
  <c r="Y164" i="11"/>
  <c r="W168" i="11"/>
  <c r="Y168" i="11"/>
  <c r="X168" i="11"/>
  <c r="W142" i="11"/>
  <c r="X142" i="11"/>
  <c r="Y142" i="11"/>
  <c r="W1015" i="11"/>
  <c r="X1015" i="11"/>
  <c r="Y1015" i="11"/>
  <c r="Y1190" i="11"/>
  <c r="X1190" i="11"/>
  <c r="W1190" i="11"/>
  <c r="W1069" i="11"/>
  <c r="Y1069" i="11"/>
  <c r="X1069" i="11"/>
  <c r="X1269" i="11"/>
  <c r="W1269" i="11"/>
  <c r="Y1269" i="11"/>
  <c r="X315" i="11"/>
  <c r="W315" i="11"/>
  <c r="Y315" i="11"/>
  <c r="Y1238" i="11"/>
  <c r="X1238" i="11"/>
  <c r="W1238" i="11"/>
  <c r="W1605" i="11"/>
  <c r="Y1605" i="11"/>
  <c r="X1605" i="11"/>
  <c r="W348" i="11"/>
  <c r="X348" i="11"/>
  <c r="Y348" i="11"/>
  <c r="W1036" i="11"/>
  <c r="X1036" i="11"/>
  <c r="Y1036" i="11"/>
  <c r="W158" i="11"/>
  <c r="Y158" i="11"/>
  <c r="X158" i="11"/>
  <c r="X286" i="11"/>
  <c r="W286" i="11"/>
  <c r="Y286" i="11"/>
  <c r="W1046" i="11"/>
  <c r="X1046" i="11"/>
  <c r="Y1046" i="11"/>
  <c r="Y1102" i="11"/>
  <c r="X1102" i="11"/>
  <c r="W1102" i="11"/>
  <c r="W1052" i="11"/>
  <c r="X1052" i="11"/>
  <c r="Y1052" i="11"/>
  <c r="X1384" i="11"/>
  <c r="Y1384" i="11"/>
  <c r="W1384" i="11"/>
  <c r="Y1382" i="11"/>
  <c r="X1382" i="11"/>
  <c r="W1382" i="11"/>
  <c r="W1221" i="11"/>
  <c r="Y1221" i="11"/>
  <c r="X1221" i="11"/>
  <c r="W1359" i="11"/>
  <c r="X1359" i="11"/>
  <c r="Y1359" i="11"/>
  <c r="W1352" i="11"/>
  <c r="Y1352" i="11"/>
  <c r="X1352" i="11"/>
  <c r="X1353" i="11"/>
  <c r="W1353" i="11"/>
  <c r="Y1353" i="11"/>
  <c r="Y1532" i="11"/>
  <c r="W1532" i="11"/>
  <c r="X1532" i="11"/>
  <c r="Y1508" i="11"/>
  <c r="W1508" i="11"/>
  <c r="X1508" i="11"/>
  <c r="X1511" i="11"/>
  <c r="Y1511" i="11"/>
  <c r="W1511" i="11"/>
  <c r="W1682" i="11"/>
  <c r="Y1682" i="11"/>
  <c r="X1682" i="11"/>
  <c r="W1205" i="11"/>
  <c r="Y1205" i="11"/>
  <c r="X1205" i="11"/>
  <c r="W1662" i="11"/>
  <c r="Y1662" i="11"/>
  <c r="X1662" i="11"/>
  <c r="X1659" i="11"/>
  <c r="Y1659" i="11"/>
  <c r="W1659" i="11"/>
  <c r="X457" i="11"/>
  <c r="W457" i="11"/>
  <c r="Y457" i="11"/>
  <c r="Y455" i="11"/>
  <c r="W455" i="11"/>
  <c r="X455" i="11"/>
  <c r="W267" i="11"/>
  <c r="Y267" i="11"/>
  <c r="X267" i="11"/>
  <c r="Y257" i="11"/>
  <c r="W257" i="11"/>
  <c r="X257" i="11"/>
  <c r="Y156" i="11"/>
  <c r="X156" i="11"/>
  <c r="W156" i="11"/>
  <c r="W252" i="11"/>
  <c r="X252" i="11"/>
  <c r="Y252" i="11"/>
  <c r="X181" i="11"/>
  <c r="W181" i="11"/>
  <c r="Y181" i="11"/>
  <c r="Y338" i="11"/>
  <c r="X338" i="11"/>
  <c r="W338" i="11"/>
  <c r="Y335" i="11"/>
  <c r="W335" i="11"/>
  <c r="X335" i="11"/>
  <c r="W148" i="11"/>
  <c r="X148" i="11"/>
  <c r="Y148" i="11"/>
  <c r="Y273" i="11"/>
  <c r="W273" i="11"/>
  <c r="X273" i="11"/>
  <c r="Y1134" i="11"/>
  <c r="X1134" i="11"/>
  <c r="W1134" i="11"/>
  <c r="Y1014" i="11"/>
  <c r="X1014" i="11"/>
  <c r="W1014" i="11"/>
  <c r="W1159" i="11"/>
  <c r="Y1159" i="11"/>
  <c r="X1159" i="11"/>
  <c r="W1191" i="11"/>
  <c r="Y1191" i="11"/>
  <c r="X1191" i="11"/>
  <c r="Y1254" i="11"/>
  <c r="X1254" i="11"/>
  <c r="W1254" i="11"/>
  <c r="X1736" i="11"/>
  <c r="Y1736" i="11"/>
  <c r="W1736" i="11"/>
  <c r="X1740" i="11"/>
  <c r="Y1740" i="11"/>
  <c r="W1740" i="11"/>
  <c r="W1593" i="11"/>
  <c r="Y1593" i="11"/>
  <c r="X1593" i="11"/>
  <c r="W1558" i="11"/>
  <c r="Y1558" i="11"/>
  <c r="X1558" i="11"/>
  <c r="X1557" i="11"/>
  <c r="Y1557" i="11"/>
  <c r="W1557" i="11"/>
  <c r="W1618" i="11"/>
  <c r="Y1618" i="11"/>
  <c r="X1618" i="11"/>
  <c r="W386" i="11"/>
  <c r="X386" i="11"/>
  <c r="Y386" i="11"/>
  <c r="Y1070" i="11"/>
  <c r="X1070" i="11"/>
  <c r="W1070" i="11"/>
  <c r="W1266" i="11"/>
  <c r="Y1266" i="11"/>
  <c r="X1266" i="11"/>
  <c r="W517" i="11"/>
  <c r="Y517" i="11"/>
  <c r="X517" i="11"/>
  <c r="W1055" i="11"/>
  <c r="X1055" i="11"/>
  <c r="Y1055" i="11"/>
  <c r="Y1361" i="11"/>
  <c r="W1361" i="11"/>
  <c r="X1361" i="11"/>
  <c r="Y344" i="11"/>
  <c r="X344" i="11"/>
  <c r="W344" i="11"/>
  <c r="Y297" i="11"/>
  <c r="W297" i="11"/>
  <c r="X297" i="11"/>
  <c r="W1175" i="11"/>
  <c r="Y1175" i="11"/>
  <c r="X1175" i="11"/>
  <c r="W1239" i="11"/>
  <c r="Y1239" i="11"/>
  <c r="X1239" i="11"/>
  <c r="X349" i="11"/>
  <c r="W349" i="11"/>
  <c r="Y349" i="11"/>
  <c r="Y1386" i="11"/>
  <c r="W1386" i="11"/>
  <c r="X1386" i="11"/>
  <c r="X1533" i="11"/>
  <c r="W1533" i="11"/>
  <c r="Y1533" i="11"/>
  <c r="X1683" i="11"/>
  <c r="Y1683" i="11"/>
  <c r="W1683" i="11"/>
  <c r="X1661" i="11"/>
  <c r="W1661" i="11"/>
  <c r="Y1661" i="11"/>
  <c r="Y160" i="11"/>
  <c r="X160" i="11"/>
  <c r="W160" i="11"/>
  <c r="X182" i="11"/>
  <c r="Y182" i="11"/>
  <c r="W182" i="11"/>
  <c r="Y263" i="11"/>
  <c r="W263" i="11"/>
  <c r="X263" i="11"/>
  <c r="Y172" i="11"/>
  <c r="X172" i="11"/>
  <c r="W172" i="11"/>
  <c r="W258" i="11"/>
  <c r="X258" i="11"/>
  <c r="Y258" i="11"/>
  <c r="Y339" i="11"/>
  <c r="W339" i="11"/>
  <c r="X339" i="11"/>
  <c r="W141" i="11"/>
  <c r="Y141" i="11"/>
  <c r="X141" i="11"/>
  <c r="W1135" i="11"/>
  <c r="Y1135" i="11"/>
  <c r="X1135" i="11"/>
  <c r="W1189" i="11"/>
  <c r="Y1189" i="11"/>
  <c r="X1189" i="11"/>
  <c r="W1255" i="11"/>
  <c r="Y1255" i="11"/>
  <c r="X1255" i="11"/>
  <c r="Y1542" i="11"/>
  <c r="W1542" i="11"/>
  <c r="X1542" i="11"/>
  <c r="X1539" i="11"/>
  <c r="Y1539" i="11"/>
  <c r="W1539" i="11"/>
  <c r="X1737" i="11"/>
  <c r="W1737" i="11"/>
  <c r="Y1737" i="11"/>
  <c r="X1595" i="11"/>
  <c r="W1595" i="11"/>
  <c r="Y1595" i="11"/>
  <c r="Y1592" i="11"/>
  <c r="X1592" i="11"/>
  <c r="W1592" i="11"/>
  <c r="Y1560" i="11"/>
  <c r="W1560" i="11"/>
  <c r="X1560" i="11"/>
  <c r="Y1620" i="11"/>
  <c r="W1620" i="11"/>
  <c r="X1620" i="11"/>
  <c r="W1071" i="11"/>
  <c r="Y1071" i="11"/>
  <c r="X1071" i="11"/>
  <c r="Y1267" i="11"/>
  <c r="X1267" i="11"/>
  <c r="W1267" i="11"/>
  <c r="X343" i="11"/>
  <c r="W343" i="11"/>
  <c r="Y343" i="11"/>
  <c r="Y1608" i="11"/>
  <c r="W1608" i="11"/>
  <c r="X1608" i="11"/>
  <c r="X190" i="11"/>
  <c r="Y190" i="11"/>
  <c r="W190" i="11"/>
  <c r="Y351" i="11"/>
  <c r="W351" i="11"/>
  <c r="X351" i="11"/>
  <c r="W68" i="11"/>
  <c r="Y68" i="11"/>
  <c r="X68" i="11"/>
  <c r="W516" i="11"/>
  <c r="X516" i="11"/>
  <c r="Y516" i="11"/>
  <c r="Y932" i="11"/>
  <c r="X932" i="11"/>
  <c r="W1223" i="11"/>
  <c r="Y1223" i="11"/>
  <c r="X1223" i="11"/>
  <c r="Y1362" i="11"/>
  <c r="W1362" i="11"/>
  <c r="X1362" i="11"/>
  <c r="W1356" i="11"/>
  <c r="Y1356" i="11"/>
  <c r="X1356" i="11"/>
  <c r="X1535" i="11"/>
  <c r="Y1535" i="11"/>
  <c r="W1535" i="11"/>
  <c r="Y1684" i="11"/>
  <c r="W1684" i="11"/>
  <c r="X1684" i="11"/>
  <c r="W1207" i="11"/>
  <c r="Y1207" i="11"/>
  <c r="X1207" i="11"/>
  <c r="W253" i="11"/>
  <c r="Y253" i="11"/>
  <c r="X253" i="11"/>
  <c r="Y133" i="11"/>
  <c r="X133" i="11"/>
  <c r="W133" i="11"/>
  <c r="X268" i="11"/>
  <c r="Y268" i="11"/>
  <c r="W268" i="11"/>
  <c r="W180" i="11"/>
  <c r="Y180" i="11"/>
  <c r="X180" i="11"/>
  <c r="X337" i="11"/>
  <c r="W337" i="11"/>
  <c r="Y337" i="11"/>
  <c r="X274" i="11"/>
  <c r="W274" i="11"/>
  <c r="Y274" i="11"/>
  <c r="W1133" i="11"/>
  <c r="Y1133" i="11"/>
  <c r="X1133" i="11"/>
  <c r="Y1158" i="11"/>
  <c r="X1158" i="11"/>
  <c r="W1158" i="11"/>
  <c r="Y1538" i="11"/>
  <c r="W1538" i="11"/>
  <c r="X1538" i="11"/>
  <c r="X1541" i="11"/>
  <c r="W1541" i="11"/>
  <c r="Y1541" i="11"/>
  <c r="X1739" i="11"/>
  <c r="W1739" i="11"/>
  <c r="Y1739" i="11"/>
  <c r="Y1596" i="11"/>
  <c r="W1596" i="11"/>
  <c r="X1596" i="11"/>
  <c r="X1619" i="11"/>
  <c r="W1619" i="11"/>
  <c r="Y1619" i="11"/>
  <c r="Y1616" i="11"/>
  <c r="X1616" i="11"/>
  <c r="W1616" i="11"/>
  <c r="Y341" i="11"/>
  <c r="W341" i="11"/>
  <c r="X341" i="11"/>
  <c r="W314" i="11"/>
  <c r="X314" i="11"/>
  <c r="Y314" i="11"/>
  <c r="Y345" i="11"/>
  <c r="W345" i="11"/>
  <c r="X345" i="11"/>
  <c r="Y313" i="11"/>
  <c r="W313" i="11"/>
  <c r="X313" i="11"/>
  <c r="W1173" i="11"/>
  <c r="Y1173" i="11"/>
  <c r="X1173" i="11"/>
  <c r="Y265" i="11"/>
  <c r="W265" i="11"/>
  <c r="X265" i="11"/>
  <c r="X1607" i="11"/>
  <c r="W1607" i="11"/>
  <c r="Y1607" i="11"/>
  <c r="Y1604" i="11"/>
  <c r="X1604" i="11"/>
  <c r="W1604" i="11"/>
  <c r="W1038" i="11"/>
  <c r="X1038" i="11"/>
  <c r="Y1038" i="11"/>
  <c r="W513" i="11"/>
  <c r="Y513" i="11"/>
  <c r="X513" i="11"/>
  <c r="Y1045" i="11"/>
  <c r="X1045" i="11"/>
  <c r="W1045" i="11"/>
  <c r="Y1054" i="11"/>
  <c r="W1054" i="11"/>
  <c r="X1054" i="11"/>
  <c r="Y1385" i="11"/>
  <c r="W1385" i="11"/>
  <c r="X1385" i="11"/>
  <c r="W1686" i="11"/>
  <c r="Y1686" i="11"/>
  <c r="X1686" i="11"/>
  <c r="W342" i="11"/>
  <c r="X342" i="11"/>
  <c r="Y342" i="11"/>
  <c r="X298" i="11"/>
  <c r="W298" i="11"/>
  <c r="Y298" i="11"/>
  <c r="Y316" i="11"/>
  <c r="X316" i="11"/>
  <c r="W316" i="11"/>
  <c r="W1237" i="11"/>
  <c r="Y1237" i="11"/>
  <c r="X1237" i="11"/>
  <c r="W1606" i="11"/>
  <c r="Y1606" i="11"/>
  <c r="X1606" i="11"/>
  <c r="Y350" i="11"/>
  <c r="X350" i="11"/>
  <c r="W350" i="11"/>
  <c r="Y347" i="11"/>
  <c r="W347" i="11"/>
  <c r="X347" i="11"/>
  <c r="Y1037" i="11"/>
  <c r="X1037" i="11"/>
  <c r="W1037" i="11"/>
  <c r="W159" i="11"/>
  <c r="X159" i="11"/>
  <c r="Y159" i="11"/>
  <c r="Y285" i="11"/>
  <c r="W285" i="11"/>
  <c r="X285" i="11"/>
  <c r="Y515" i="11"/>
  <c r="X515" i="11"/>
  <c r="W515" i="11"/>
  <c r="X514" i="11"/>
  <c r="W514" i="11"/>
  <c r="Y514" i="11"/>
  <c r="W1103" i="11"/>
  <c r="Y1103" i="11"/>
  <c r="X1103" i="11"/>
  <c r="Y1053" i="11"/>
  <c r="X1053" i="11"/>
  <c r="W1053" i="11"/>
  <c r="W1383" i="11"/>
  <c r="X1383" i="11"/>
  <c r="Y1383" i="11"/>
  <c r="Y1222" i="11"/>
  <c r="X1222" i="11"/>
  <c r="W1222" i="11"/>
  <c r="X1360" i="11"/>
  <c r="Y1360" i="11"/>
  <c r="W1360" i="11"/>
  <c r="Y1358" i="11"/>
  <c r="X1358" i="11"/>
  <c r="W1358" i="11"/>
  <c r="Y1354" i="11"/>
  <c r="X1354" i="11"/>
  <c r="W1354" i="11"/>
  <c r="X1355" i="11"/>
  <c r="W1355" i="11"/>
  <c r="Y1355" i="11"/>
  <c r="W1534" i="11"/>
  <c r="Y1534" i="11"/>
  <c r="X1534" i="11"/>
  <c r="Y1536" i="11"/>
  <c r="W1536" i="11"/>
  <c r="X1536" i="11"/>
  <c r="W1510" i="11"/>
  <c r="Y1510" i="11"/>
  <c r="X1510" i="11"/>
  <c r="X1509" i="11"/>
  <c r="Y1509" i="11"/>
  <c r="W1509" i="11"/>
  <c r="X1685" i="11"/>
  <c r="W1685" i="11"/>
  <c r="Y1685" i="11"/>
  <c r="W409" i="11"/>
  <c r="X409" i="11"/>
  <c r="Y409" i="11"/>
  <c r="Y1206" i="11"/>
  <c r="X1206" i="11"/>
  <c r="W1206" i="11"/>
  <c r="Y1660" i="11"/>
  <c r="W1660" i="11"/>
  <c r="X1660" i="11"/>
  <c r="W456" i="11"/>
  <c r="X456" i="11"/>
  <c r="Y456" i="11"/>
  <c r="W132" i="11"/>
  <c r="Y132" i="11"/>
  <c r="X132" i="11"/>
  <c r="Y262" i="11"/>
  <c r="X262" i="11"/>
  <c r="W262" i="11"/>
  <c r="W152" i="11"/>
  <c r="X152" i="11"/>
  <c r="Y152" i="11"/>
  <c r="W336" i="11"/>
  <c r="X336" i="11"/>
  <c r="Y336" i="11"/>
  <c r="X87" i="11"/>
  <c r="Y87" i="11"/>
  <c r="W87" i="11"/>
  <c r="W147" i="11"/>
  <c r="Y147" i="11"/>
  <c r="X147" i="11"/>
  <c r="W932" i="11"/>
  <c r="W1013" i="11"/>
  <c r="X1013" i="11"/>
  <c r="Y1013" i="11"/>
  <c r="W1157" i="11"/>
  <c r="Y1157" i="11"/>
  <c r="X1157" i="11"/>
  <c r="W1253" i="11"/>
  <c r="Y1253" i="11"/>
  <c r="X1253" i="11"/>
  <c r="W1540" i="11"/>
  <c r="Y1540" i="11"/>
  <c r="X1540" i="11"/>
  <c r="X1738" i="11"/>
  <c r="Y1738" i="11"/>
  <c r="W1738" i="11"/>
  <c r="W1594" i="11"/>
  <c r="Y1594" i="11"/>
  <c r="X1594" i="11"/>
  <c r="Y1556" i="11"/>
  <c r="W1556" i="11"/>
  <c r="X1556" i="11"/>
  <c r="X1559" i="11"/>
  <c r="Y1559" i="11"/>
  <c r="W1559" i="11"/>
  <c r="W1617" i="11"/>
  <c r="Y1617" i="11"/>
  <c r="X1617" i="11"/>
  <c r="X387" i="11"/>
  <c r="W387" i="11"/>
  <c r="Y387" i="11"/>
  <c r="Y385" i="11"/>
  <c r="W385" i="11"/>
  <c r="X385" i="11"/>
  <c r="W1268" i="11"/>
  <c r="Y1268" i="11"/>
  <c r="X1268" i="11"/>
  <c r="W856" i="11" l="1"/>
  <c r="W616" i="11"/>
  <c r="W1822" i="11"/>
  <c r="V590" i="11"/>
  <c r="X590" i="11" s="1"/>
  <c r="F8" i="8"/>
  <c r="P13" i="12"/>
  <c r="U1862" i="11"/>
  <c r="F10" i="8"/>
  <c r="P16" i="12"/>
  <c r="Y1777" i="11"/>
  <c r="Y1822" i="11"/>
  <c r="X1777" i="11"/>
  <c r="Y616" i="11"/>
  <c r="X856" i="11"/>
  <c r="W949" i="11"/>
  <c r="X949" i="11"/>
  <c r="Y649" i="11"/>
  <c r="V982" i="11"/>
  <c r="X649" i="11"/>
  <c r="Y590" i="11" l="1"/>
  <c r="W590" i="11"/>
  <c r="X982" i="11"/>
  <c r="W982" i="11"/>
  <c r="Y982" i="11"/>
  <c r="Q328" i="11" l="1"/>
  <c r="O328" i="11"/>
  <c r="T328" i="11" l="1"/>
  <c r="O322" i="11"/>
  <c r="P216" i="11" s="1"/>
  <c r="Q322" i="11"/>
  <c r="D15" i="8" s="1"/>
  <c r="F15" i="8" s="1"/>
  <c r="F17" i="8"/>
  <c r="F16" i="8"/>
  <c r="T322" i="11" l="1"/>
  <c r="V329" i="11"/>
  <c r="V332" i="11"/>
  <c r="V333" i="11"/>
  <c r="X328" i="11"/>
  <c r="Y328" i="11"/>
  <c r="V331" i="11"/>
  <c r="V330" i="11"/>
  <c r="W328" i="11"/>
  <c r="W330" i="11" l="1"/>
  <c r="Y330" i="11"/>
  <c r="X330" i="11"/>
  <c r="W333" i="11"/>
  <c r="Y333" i="11"/>
  <c r="X333" i="11"/>
  <c r="X329" i="11"/>
  <c r="Y329" i="11"/>
  <c r="W329" i="11"/>
  <c r="Y331" i="11"/>
  <c r="X331" i="11"/>
  <c r="W331" i="11"/>
  <c r="X332" i="11"/>
  <c r="Y332" i="11"/>
  <c r="W332" i="11"/>
  <c r="W322" i="11"/>
  <c r="Y322" i="11"/>
  <c r="V326" i="11"/>
  <c r="U216" i="11"/>
  <c r="V324" i="11"/>
  <c r="V323" i="11"/>
  <c r="X322" i="11"/>
  <c r="V325" i="11"/>
  <c r="V327" i="11"/>
  <c r="F6" i="8" l="1"/>
  <c r="P10" i="12"/>
  <c r="W323" i="11"/>
  <c r="X323" i="11"/>
  <c r="Y323" i="11"/>
  <c r="Y326" i="11"/>
  <c r="X326" i="11"/>
  <c r="W326" i="11"/>
  <c r="Y325" i="11"/>
  <c r="X325" i="11"/>
  <c r="W325" i="11"/>
  <c r="X324" i="11"/>
  <c r="Y324" i="11"/>
  <c r="W324" i="11"/>
  <c r="V216" i="11"/>
  <c r="W327" i="11"/>
  <c r="X327" i="11"/>
  <c r="Y327" i="11"/>
  <c r="W216" i="11" l="1"/>
  <c r="Y216" i="11"/>
  <c r="X216" i="11"/>
  <c r="C6" i="6" l="1"/>
  <c r="C10" i="6" s="1"/>
  <c r="B12" i="6" l="1"/>
  <c r="E10" i="11" s="1"/>
  <c r="A11" i="6"/>
  <c r="J1090" i="11" l="1"/>
  <c r="N1090" i="11" s="1"/>
  <c r="J20" i="11"/>
  <c r="S20" i="11" s="1"/>
  <c r="J74" i="11"/>
  <c r="S74" i="11" s="1"/>
  <c r="J120" i="11"/>
  <c r="S120" i="11" s="1"/>
  <c r="J225" i="11"/>
  <c r="J41" i="11"/>
  <c r="S41" i="11" s="1"/>
  <c r="J388" i="11"/>
  <c r="J471" i="11"/>
  <c r="J530" i="11"/>
  <c r="J537" i="11"/>
  <c r="J605" i="11"/>
  <c r="J651" i="11"/>
  <c r="J677" i="11"/>
  <c r="J689" i="11"/>
  <c r="J705" i="11"/>
  <c r="J816" i="11"/>
  <c r="J890" i="11"/>
  <c r="J128" i="11"/>
  <c r="S128" i="11" s="1"/>
  <c r="J72" i="11"/>
  <c r="S72" i="11" s="1"/>
  <c r="J122" i="11"/>
  <c r="S122" i="11" s="1"/>
  <c r="J178" i="11"/>
  <c r="S178" i="11" s="1"/>
  <c r="J247" i="11"/>
  <c r="J232" i="11"/>
  <c r="J240" i="11"/>
  <c r="J383" i="11"/>
  <c r="J481" i="11"/>
  <c r="J532" i="11"/>
  <c r="J543" i="11"/>
  <c r="J654" i="11"/>
  <c r="J675" i="11"/>
  <c r="J693" i="11"/>
  <c r="J720" i="11"/>
  <c r="J804" i="11"/>
  <c r="J899" i="11"/>
  <c r="J25" i="11"/>
  <c r="S25" i="11" s="1"/>
  <c r="J75" i="11"/>
  <c r="S75" i="11" s="1"/>
  <c r="J121" i="11"/>
  <c r="S121" i="11" s="1"/>
  <c r="J177" i="11"/>
  <c r="S177" i="11" s="1"/>
  <c r="J237" i="11"/>
  <c r="J408" i="11"/>
  <c r="J448" i="11"/>
  <c r="J524" i="11"/>
  <c r="J540" i="11"/>
  <c r="J553" i="11"/>
  <c r="J662" i="11"/>
  <c r="J691" i="11"/>
  <c r="J708" i="11"/>
  <c r="J779" i="11"/>
  <c r="J27" i="11"/>
  <c r="S27" i="11" s="1"/>
  <c r="J69" i="11"/>
  <c r="S69" i="11" s="1"/>
  <c r="J85" i="11"/>
  <c r="S85" i="11" s="1"/>
  <c r="J127" i="11"/>
  <c r="S127" i="11" s="1"/>
  <c r="J234" i="11"/>
  <c r="J246" i="11"/>
  <c r="J403" i="11"/>
  <c r="J472" i="11"/>
  <c r="J479" i="11"/>
  <c r="J539" i="11"/>
  <c r="J609" i="11"/>
  <c r="J673" i="11"/>
  <c r="J686" i="11"/>
  <c r="J701" i="11"/>
  <c r="J745" i="11"/>
  <c r="J927" i="11"/>
  <c r="J24" i="11"/>
  <c r="S24" i="11" s="1"/>
  <c r="J78" i="11"/>
  <c r="S78" i="11" s="1"/>
  <c r="J124" i="11"/>
  <c r="S124" i="11" s="1"/>
  <c r="J26" i="11"/>
  <c r="S26" i="11" s="1"/>
  <c r="J80" i="11"/>
  <c r="S80" i="11" s="1"/>
  <c r="J442" i="11"/>
  <c r="J476" i="11"/>
  <c r="J531" i="11"/>
  <c r="J544" i="11"/>
  <c r="J608" i="11"/>
  <c r="J665" i="11"/>
  <c r="J678" i="11"/>
  <c r="J694" i="11"/>
  <c r="J711" i="11"/>
  <c r="J831" i="11"/>
  <c r="J32" i="11"/>
  <c r="S32" i="11" s="1"/>
  <c r="J226" i="11"/>
  <c r="J76" i="11"/>
  <c r="S76" i="11" s="1"/>
  <c r="J126" i="11"/>
  <c r="S126" i="11" s="1"/>
  <c r="J217" i="11"/>
  <c r="J452" i="11"/>
  <c r="J233" i="11"/>
  <c r="J241" i="11"/>
  <c r="J441" i="11"/>
  <c r="J519" i="11"/>
  <c r="J533" i="11"/>
  <c r="J554" i="11"/>
  <c r="J658" i="11"/>
  <c r="J682" i="11"/>
  <c r="J698" i="11"/>
  <c r="J752" i="11"/>
  <c r="J811" i="11"/>
  <c r="J921" i="11"/>
  <c r="J29" i="11"/>
  <c r="S29" i="11" s="1"/>
  <c r="J79" i="11"/>
  <c r="S79" i="11" s="1"/>
  <c r="J125" i="11"/>
  <c r="S125" i="11" s="1"/>
  <c r="J223" i="11"/>
  <c r="J248" i="11"/>
  <c r="J438" i="11"/>
  <c r="J449" i="11"/>
  <c r="J525" i="11"/>
  <c r="J541" i="11"/>
  <c r="J606" i="11"/>
  <c r="J674" i="11"/>
  <c r="J697" i="11"/>
  <c r="J709" i="11"/>
  <c r="J809" i="11"/>
  <c r="J31" i="11"/>
  <c r="S31" i="11" s="1"/>
  <c r="J73" i="11"/>
  <c r="S73" i="11" s="1"/>
  <c r="J115" i="11"/>
  <c r="S115" i="11" s="1"/>
  <c r="J175" i="11"/>
  <c r="S175" i="11" s="1"/>
  <c r="J243" i="11"/>
  <c r="J352" i="11"/>
  <c r="J436" i="11"/>
  <c r="S436" i="11" s="1"/>
  <c r="J473" i="11"/>
  <c r="J522" i="11"/>
  <c r="J545" i="11"/>
  <c r="J614" i="11"/>
  <c r="J680" i="11"/>
  <c r="J690" i="11"/>
  <c r="J706" i="11"/>
  <c r="J772" i="11"/>
  <c r="J28" i="11"/>
  <c r="S28" i="11" s="1"/>
  <c r="J176" i="11"/>
  <c r="S176" i="11" s="1"/>
  <c r="J118" i="11"/>
  <c r="S118" i="11" s="1"/>
  <c r="J518" i="11"/>
  <c r="J555" i="11"/>
  <c r="J666" i="11"/>
  <c r="J695" i="11"/>
  <c r="J836" i="11"/>
  <c r="J22" i="11"/>
  <c r="S22" i="11" s="1"/>
  <c r="J130" i="11"/>
  <c r="S130" i="11" s="1"/>
  <c r="J450" i="11"/>
  <c r="J242" i="11"/>
  <c r="J528" i="11"/>
  <c r="J604" i="11"/>
  <c r="J688" i="11"/>
  <c r="J784" i="11"/>
  <c r="J1008" i="11"/>
  <c r="J83" i="11"/>
  <c r="S83" i="11" s="1"/>
  <c r="J224" i="11"/>
  <c r="J439" i="11"/>
  <c r="J526" i="11"/>
  <c r="J653" i="11"/>
  <c r="J702" i="11"/>
  <c r="J19" i="11"/>
  <c r="S19" i="11" s="1"/>
  <c r="J77" i="11"/>
  <c r="S77" i="11" s="1"/>
  <c r="J227" i="11"/>
  <c r="J393" i="11"/>
  <c r="J477" i="11"/>
  <c r="J550" i="11"/>
  <c r="J684" i="11"/>
  <c r="J707" i="11"/>
  <c r="J39" i="11"/>
  <c r="S39" i="11" s="1"/>
  <c r="J189" i="11"/>
  <c r="S189" i="11" s="1"/>
  <c r="J235" i="11"/>
  <c r="J521" i="11"/>
  <c r="J600" i="11"/>
  <c r="J670" i="11"/>
  <c r="J699" i="11"/>
  <c r="J843" i="11"/>
  <c r="J37" i="11"/>
  <c r="S37" i="11" s="1"/>
  <c r="J174" i="11"/>
  <c r="S174" i="11" s="1"/>
  <c r="J231" i="11"/>
  <c r="J382" i="11"/>
  <c r="J529" i="11"/>
  <c r="J612" i="11"/>
  <c r="J692" i="11"/>
  <c r="J799" i="11"/>
  <c r="J21" i="11"/>
  <c r="S21" i="11" s="1"/>
  <c r="J117" i="11"/>
  <c r="S117" i="11" s="1"/>
  <c r="J230" i="11"/>
  <c r="J440" i="11"/>
  <c r="J527" i="11"/>
  <c r="J657" i="11"/>
  <c r="J703" i="11"/>
  <c r="J23" i="11"/>
  <c r="S23" i="11" s="1"/>
  <c r="J81" i="11"/>
  <c r="S81" i="11" s="1"/>
  <c r="J228" i="11"/>
  <c r="J398" i="11"/>
  <c r="J478" i="11"/>
  <c r="J601" i="11"/>
  <c r="J685" i="11"/>
  <c r="J740" i="11"/>
  <c r="J1820" i="11"/>
  <c r="M1820" i="11" s="1"/>
  <c r="J1813" i="11"/>
  <c r="J1138" i="11"/>
  <c r="N1138" i="11" s="1"/>
  <c r="J1126" i="11"/>
  <c r="N1126" i="11" s="1"/>
  <c r="J1115" i="11"/>
  <c r="N1115" i="11" s="1"/>
  <c r="J1105" i="11"/>
  <c r="N1105" i="11" s="1"/>
  <c r="J1094" i="11"/>
  <c r="N1094" i="11" s="1"/>
  <c r="J1083" i="11"/>
  <c r="N1083" i="11" s="1"/>
  <c r="J1073" i="11"/>
  <c r="N1073" i="11" s="1"/>
  <c r="J1062" i="11"/>
  <c r="N1062" i="11" s="1"/>
  <c r="J86" i="11"/>
  <c r="S86" i="11" s="1"/>
  <c r="J453" i="11"/>
  <c r="J613" i="11"/>
  <c r="J735" i="11"/>
  <c r="J84" i="11"/>
  <c r="S84" i="11" s="1"/>
  <c r="J238" i="11"/>
  <c r="J535" i="11"/>
  <c r="J704" i="11"/>
  <c r="J40" i="11"/>
  <c r="S40" i="11" s="1"/>
  <c r="J353" i="11"/>
  <c r="J546" i="11"/>
  <c r="J713" i="11"/>
  <c r="J119" i="11"/>
  <c r="S119" i="11" s="1"/>
  <c r="J437" i="11"/>
  <c r="J661" i="11"/>
  <c r="J777" i="11"/>
  <c r="J1819" i="11"/>
  <c r="M1819" i="11" s="1"/>
  <c r="J1139" i="11"/>
  <c r="N1139" i="11" s="1"/>
  <c r="J1129" i="11"/>
  <c r="N1129" i="11" s="1"/>
  <c r="J1113" i="11"/>
  <c r="N1113" i="11" s="1"/>
  <c r="J1099" i="11"/>
  <c r="N1099" i="11" s="1"/>
  <c r="J1086" i="11"/>
  <c r="N1086" i="11" s="1"/>
  <c r="J1070" i="11"/>
  <c r="N1070" i="11" s="1"/>
  <c r="J1057" i="11"/>
  <c r="N1057" i="11" s="1"/>
  <c r="J1101" i="11"/>
  <c r="N1101" i="11" s="1"/>
  <c r="J1053" i="11"/>
  <c r="N1053" i="11" s="1"/>
  <c r="J1114" i="11"/>
  <c r="N1114" i="11" s="1"/>
  <c r="J1077" i="11"/>
  <c r="N1077" i="11" s="1"/>
  <c r="J1130" i="11"/>
  <c r="N1130" i="11" s="1"/>
  <c r="J1093" i="11"/>
  <c r="N1093" i="11" s="1"/>
  <c r="J919" i="11"/>
  <c r="N919" i="11" s="1"/>
  <c r="J1058" i="11"/>
  <c r="N1058" i="11" s="1"/>
  <c r="J937" i="11"/>
  <c r="J829" i="11"/>
  <c r="J797" i="11"/>
  <c r="J765" i="11"/>
  <c r="J733" i="11"/>
  <c r="J986" i="11"/>
  <c r="J1054" i="11"/>
  <c r="N1054" i="11" s="1"/>
  <c r="J656" i="11"/>
  <c r="J716" i="11"/>
  <c r="J748" i="11"/>
  <c r="J780" i="11"/>
  <c r="J812" i="11"/>
  <c r="J839" i="11"/>
  <c r="J892" i="11"/>
  <c r="J599" i="11"/>
  <c r="J660" i="11"/>
  <c r="J737" i="11"/>
  <c r="J771" i="11"/>
  <c r="J791" i="11"/>
  <c r="J808" i="11"/>
  <c r="J828" i="11"/>
  <c r="J925" i="11"/>
  <c r="J602" i="11"/>
  <c r="J655" i="11"/>
  <c r="J724" i="11"/>
  <c r="J761" i="11"/>
  <c r="J795" i="11"/>
  <c r="J815" i="11"/>
  <c r="J832" i="11"/>
  <c r="J852" i="11"/>
  <c r="J947" i="11"/>
  <c r="J1085" i="11"/>
  <c r="N1085" i="11" s="1"/>
  <c r="J718" i="11"/>
  <c r="J758" i="11"/>
  <c r="J774" i="11"/>
  <c r="J790" i="11"/>
  <c r="J814" i="11"/>
  <c r="J830" i="11"/>
  <c r="J930" i="11"/>
  <c r="J943" i="11"/>
  <c r="J722" i="11"/>
  <c r="J754" i="11"/>
  <c r="J786" i="11"/>
  <c r="J818" i="11"/>
  <c r="J850" i="11"/>
  <c r="J944" i="11"/>
  <c r="J922" i="11"/>
  <c r="J992" i="11"/>
  <c r="J1010" i="11"/>
  <c r="J1018" i="11"/>
  <c r="J1180" i="11"/>
  <c r="J1285" i="11"/>
  <c r="J116" i="11"/>
  <c r="S116" i="11" s="1"/>
  <c r="J470" i="11"/>
  <c r="J650" i="11"/>
  <c r="J767" i="11"/>
  <c r="J114" i="11"/>
  <c r="S114" i="11" s="1"/>
  <c r="J239" i="11"/>
  <c r="J542" i="11"/>
  <c r="J715" i="11"/>
  <c r="J71" i="11"/>
  <c r="S71" i="11" s="1"/>
  <c r="J381" i="11"/>
  <c r="J547" i="11"/>
  <c r="J747" i="11"/>
  <c r="J123" i="11"/>
  <c r="S123" i="11" s="1"/>
  <c r="J447" i="11"/>
  <c r="J667" i="11"/>
  <c r="J848" i="11"/>
  <c r="J1817" i="11"/>
  <c r="M1817" i="11" s="1"/>
  <c r="J1137" i="11"/>
  <c r="N1137" i="11" s="1"/>
  <c r="J1123" i="11"/>
  <c r="N1123" i="11" s="1"/>
  <c r="J1110" i="11"/>
  <c r="N1110" i="11" s="1"/>
  <c r="J1097" i="11"/>
  <c r="N1097" i="11" s="1"/>
  <c r="J1081" i="11"/>
  <c r="N1081" i="11" s="1"/>
  <c r="J1067" i="11"/>
  <c r="N1067" i="11" s="1"/>
  <c r="J1133" i="11"/>
  <c r="N1133" i="11" s="1"/>
  <c r="J1079" i="11"/>
  <c r="N1079" i="11" s="1"/>
  <c r="J1050" i="11"/>
  <c r="N1050" i="11" s="1"/>
  <c r="J1109" i="11"/>
  <c r="N1109" i="11" s="1"/>
  <c r="J1055" i="11"/>
  <c r="N1055" i="11" s="1"/>
  <c r="J1125" i="11"/>
  <c r="N1125" i="11" s="1"/>
  <c r="J1071" i="11"/>
  <c r="N1071" i="11" s="1"/>
  <c r="J917" i="11"/>
  <c r="N917" i="11" s="1"/>
  <c r="J1052" i="11"/>
  <c r="N1052" i="11" s="1"/>
  <c r="J853" i="11"/>
  <c r="J821" i="11"/>
  <c r="J789" i="11"/>
  <c r="J757" i="11"/>
  <c r="J725" i="11"/>
  <c r="J941" i="11"/>
  <c r="J1049" i="11"/>
  <c r="N1049" i="11" s="1"/>
  <c r="J603" i="11"/>
  <c r="J721" i="11"/>
  <c r="J753" i="11"/>
  <c r="J785" i="11"/>
  <c r="J817" i="11"/>
  <c r="J844" i="11"/>
  <c r="J896" i="11"/>
  <c r="J1060" i="11"/>
  <c r="J548" i="11"/>
  <c r="J607" i="11"/>
  <c r="J668" i="11"/>
  <c r="J739" i="11"/>
  <c r="J759" i="11"/>
  <c r="J776" i="11"/>
  <c r="J796" i="11"/>
  <c r="J833" i="11"/>
  <c r="J891" i="11"/>
  <c r="J928" i="11"/>
  <c r="J663" i="11"/>
  <c r="J729" i="11"/>
  <c r="J763" i="11"/>
  <c r="J783" i="11"/>
  <c r="J800" i="11"/>
  <c r="J820" i="11"/>
  <c r="J893" i="11"/>
  <c r="J993" i="11"/>
  <c r="J734" i="11"/>
  <c r="J750" i="11"/>
  <c r="J782" i="11"/>
  <c r="J798" i="11"/>
  <c r="J931" i="11"/>
  <c r="J945" i="11"/>
  <c r="J997" i="11"/>
  <c r="J1009" i="11"/>
  <c r="J730" i="11"/>
  <c r="J762" i="11"/>
  <c r="J794" i="11"/>
  <c r="J826" i="11"/>
  <c r="J983" i="11"/>
  <c r="J995" i="11"/>
  <c r="J1011" i="11"/>
  <c r="J1192" i="11"/>
  <c r="J923" i="11"/>
  <c r="J1019" i="11"/>
  <c r="J1810" i="11"/>
  <c r="J30" i="11"/>
  <c r="S30" i="11" s="1"/>
  <c r="J36" i="11"/>
  <c r="M36" i="11" s="1"/>
  <c r="J683" i="11"/>
  <c r="J236" i="11"/>
  <c r="J669" i="11"/>
  <c r="J173" i="11"/>
  <c r="S173" i="11" s="1"/>
  <c r="J687" i="11"/>
  <c r="J245" i="11"/>
  <c r="J700" i="11"/>
  <c r="J1815" i="11"/>
  <c r="J1121" i="11"/>
  <c r="N1121" i="11" s="1"/>
  <c r="J1091" i="11"/>
  <c r="N1091" i="11" s="1"/>
  <c r="J1065" i="11"/>
  <c r="N1065" i="11" s="1"/>
  <c r="J1074" i="11"/>
  <c r="N1074" i="11" s="1"/>
  <c r="J1087" i="11"/>
  <c r="N1087" i="11" s="1"/>
  <c r="J1103" i="11"/>
  <c r="N1103" i="11" s="1"/>
  <c r="J1122" i="11"/>
  <c r="N1122" i="11" s="1"/>
  <c r="J845" i="11"/>
  <c r="J781" i="11"/>
  <c r="J717" i="11"/>
  <c r="J994" i="11"/>
  <c r="J611" i="11"/>
  <c r="J728" i="11"/>
  <c r="J755" i="11"/>
  <c r="J775" i="11"/>
  <c r="J849" i="11"/>
  <c r="J1064" i="11"/>
  <c r="J615" i="11"/>
  <c r="J744" i="11"/>
  <c r="J769" i="11"/>
  <c r="J803" i="11"/>
  <c r="J835" i="11"/>
  <c r="J855" i="11"/>
  <c r="J719" i="11"/>
  <c r="J710" i="11"/>
  <c r="J806" i="11"/>
  <c r="J838" i="11"/>
  <c r="J929" i="11"/>
  <c r="J746" i="11"/>
  <c r="J810" i="11"/>
  <c r="J920" i="11"/>
  <c r="J996" i="11"/>
  <c r="J1016" i="11"/>
  <c r="J1818" i="11"/>
  <c r="M1818" i="11" s="1"/>
  <c r="J1816" i="11"/>
  <c r="J1134" i="11"/>
  <c r="N1134" i="11" s="1"/>
  <c r="J1078" i="11"/>
  <c r="N1078" i="11" s="1"/>
  <c r="J918" i="11"/>
  <c r="N918" i="11" s="1"/>
  <c r="J998" i="11"/>
  <c r="J749" i="11"/>
  <c r="J819" i="11"/>
  <c r="J898" i="11"/>
  <c r="J727" i="11"/>
  <c r="J671" i="11"/>
  <c r="J756" i="11"/>
  <c r="J825" i="11"/>
  <c r="J1047" i="11"/>
  <c r="J742" i="11"/>
  <c r="J942" i="11"/>
  <c r="J714" i="11"/>
  <c r="J842" i="11"/>
  <c r="J985" i="11"/>
  <c r="J679" i="11"/>
  <c r="J129" i="11"/>
  <c r="S129" i="11" s="1"/>
  <c r="J696" i="11"/>
  <c r="J1821" i="11"/>
  <c r="M1821" i="11" s="1"/>
  <c r="J1102" i="11"/>
  <c r="N1102" i="11" s="1"/>
  <c r="J1119" i="11"/>
  <c r="N1119" i="11" s="1"/>
  <c r="J1061" i="11"/>
  <c r="N1061" i="11" s="1"/>
  <c r="J805" i="11"/>
  <c r="J1063" i="11"/>
  <c r="N1063" i="11" s="1"/>
  <c r="J520" i="11"/>
  <c r="J723" i="11"/>
  <c r="J556" i="11"/>
  <c r="M556" i="11" s="1"/>
  <c r="J732" i="11"/>
  <c r="J801" i="11"/>
  <c r="J895" i="11"/>
  <c r="J768" i="11"/>
  <c r="J827" i="11"/>
  <c r="J726" i="11"/>
  <c r="J854" i="11"/>
  <c r="J738" i="11"/>
  <c r="J1021" i="11"/>
  <c r="J1814" i="11"/>
  <c r="J534" i="11"/>
  <c r="J70" i="11"/>
  <c r="S70" i="11" s="1"/>
  <c r="J451" i="11"/>
  <c r="J841" i="11"/>
  <c r="J474" i="11"/>
  <c r="J34" i="11"/>
  <c r="S34" i="11" s="1"/>
  <c r="J523" i="11"/>
  <c r="J1811" i="11"/>
  <c r="J1118" i="11"/>
  <c r="N1118" i="11" s="1"/>
  <c r="J1089" i="11"/>
  <c r="N1089" i="11" s="1"/>
  <c r="J1059" i="11"/>
  <c r="N1059" i="11" s="1"/>
  <c r="J1069" i="11"/>
  <c r="N1069" i="11" s="1"/>
  <c r="J1082" i="11"/>
  <c r="N1082" i="11" s="1"/>
  <c r="J1098" i="11"/>
  <c r="N1098" i="11" s="1"/>
  <c r="J1117" i="11"/>
  <c r="N1117" i="11" s="1"/>
  <c r="J837" i="11"/>
  <c r="J773" i="11"/>
  <c r="J1095" i="11"/>
  <c r="N1095" i="11" s="1"/>
  <c r="J926" i="11"/>
  <c r="J552" i="11"/>
  <c r="J664" i="11"/>
  <c r="J760" i="11"/>
  <c r="J787" i="11"/>
  <c r="J807" i="11"/>
  <c r="J851" i="11"/>
  <c r="J652" i="11"/>
  <c r="J840" i="11"/>
  <c r="J948" i="11"/>
  <c r="J549" i="11"/>
  <c r="J731" i="11"/>
  <c r="J751" i="11"/>
  <c r="J846" i="11"/>
  <c r="J932" i="11"/>
  <c r="J1252" i="11"/>
  <c r="J770" i="11"/>
  <c r="J834" i="11"/>
  <c r="J1007" i="11"/>
  <c r="J1006" i="11"/>
  <c r="J1017" i="11"/>
  <c r="J1200" i="11"/>
  <c r="J1244" i="11"/>
  <c r="J536" i="11"/>
  <c r="J82" i="11"/>
  <c r="J475" i="11"/>
  <c r="J894" i="11"/>
  <c r="J480" i="11"/>
  <c r="J38" i="11"/>
  <c r="S38" i="11" s="1"/>
  <c r="J538" i="11"/>
  <c r="J1107" i="11"/>
  <c r="N1107" i="11" s="1"/>
  <c r="J1111" i="11"/>
  <c r="N1111" i="11" s="1"/>
  <c r="J1048" i="11"/>
  <c r="N1048" i="11" s="1"/>
  <c r="J1066" i="11"/>
  <c r="N1066" i="11" s="1"/>
  <c r="J813" i="11"/>
  <c r="J1127" i="11"/>
  <c r="N1127" i="11" s="1"/>
  <c r="J792" i="11"/>
  <c r="J676" i="11"/>
  <c r="J736" i="11"/>
  <c r="J788" i="11"/>
  <c r="J847" i="11"/>
  <c r="J822" i="11"/>
  <c r="J778" i="11"/>
  <c r="J984" i="11"/>
  <c r="J924" i="11"/>
  <c r="J1020" i="11"/>
  <c r="J1812" i="11"/>
  <c r="J229" i="11"/>
  <c r="J659" i="11"/>
  <c r="J681" i="11"/>
  <c r="J244" i="11"/>
  <c r="J1131" i="11"/>
  <c r="N1131" i="11" s="1"/>
  <c r="J1075" i="11"/>
  <c r="N1075" i="11" s="1"/>
  <c r="J1106" i="11"/>
  <c r="N1106" i="11" s="1"/>
  <c r="J1135" i="11"/>
  <c r="N1135" i="11" s="1"/>
  <c r="J946" i="11"/>
  <c r="J741" i="11"/>
  <c r="J672" i="11"/>
  <c r="J743" i="11"/>
  <c r="J824" i="11"/>
  <c r="J712" i="11"/>
  <c r="J764" i="11"/>
  <c r="J823" i="11"/>
  <c r="J610" i="11"/>
  <c r="J793" i="11"/>
  <c r="J897" i="11"/>
  <c r="J766" i="11"/>
  <c r="J802" i="11"/>
  <c r="J991" i="11"/>
  <c r="J1216" i="11"/>
  <c r="J1176" i="11"/>
  <c r="J1265" i="11"/>
  <c r="J591" i="11"/>
  <c r="J1156" i="11"/>
  <c r="J1196" i="11"/>
  <c r="J1310" i="11"/>
  <c r="J140" i="11"/>
  <c r="S140" i="11" s="1"/>
  <c r="J466" i="11"/>
  <c r="J1116" i="11"/>
  <c r="J1300" i="11"/>
  <c r="J1212" i="11"/>
  <c r="J1164" i="11"/>
  <c r="J169" i="11"/>
  <c r="S169" i="11" s="1"/>
  <c r="J1068" i="11"/>
  <c r="J1305" i="11"/>
  <c r="J404" i="11"/>
  <c r="J394" i="11"/>
  <c r="J149" i="11"/>
  <c r="S149" i="11" s="1"/>
  <c r="J1148" i="11"/>
  <c r="J1039" i="11"/>
  <c r="J458" i="11"/>
  <c r="J900" i="11"/>
  <c r="J1096" i="11"/>
  <c r="J1092" i="11"/>
  <c r="J1031" i="11"/>
  <c r="J1112" i="11"/>
  <c r="J908" i="11"/>
  <c r="J1224" i="11"/>
  <c r="J1088" i="11"/>
  <c r="J1056" i="11"/>
  <c r="J1256" i="11"/>
  <c r="J1248" i="11"/>
  <c r="J1051" i="11"/>
  <c r="J1232" i="11"/>
  <c r="J1188" i="11"/>
  <c r="J912" i="11"/>
  <c r="J1152" i="11"/>
  <c r="J933" i="11"/>
  <c r="J1220" i="11"/>
  <c r="J35" i="11"/>
  <c r="S35" i="11" s="1"/>
  <c r="J1124" i="11"/>
  <c r="J222" i="11"/>
  <c r="J1275" i="11"/>
  <c r="J1022" i="11"/>
  <c r="J389" i="11"/>
  <c r="J1240" i="11"/>
  <c r="J134" i="11"/>
  <c r="S134" i="11" s="1"/>
  <c r="J1012" i="11"/>
  <c r="J179" i="11"/>
  <c r="S179" i="11" s="1"/>
  <c r="J443" i="11"/>
  <c r="J1128" i="11"/>
  <c r="J462" i="11"/>
  <c r="J1084" i="11"/>
  <c r="J1076" i="11"/>
  <c r="J143" i="11"/>
  <c r="S143" i="11" s="1"/>
  <c r="J1144" i="11"/>
  <c r="J1204" i="11"/>
  <c r="J1172" i="11"/>
  <c r="J1108" i="11"/>
  <c r="J916" i="11"/>
  <c r="J999" i="11"/>
  <c r="J161" i="11"/>
  <c r="S161" i="11" s="1"/>
  <c r="J904" i="11"/>
  <c r="J1120" i="11"/>
  <c r="J1168" i="11"/>
  <c r="J1228" i="11"/>
  <c r="J1160" i="11"/>
  <c r="J1025" i="11"/>
  <c r="J153" i="11"/>
  <c r="S153" i="11" s="1"/>
  <c r="J1260" i="11"/>
  <c r="J157" i="11"/>
  <c r="S157" i="11" s="1"/>
  <c r="J1270" i="11"/>
  <c r="J1140" i="11"/>
  <c r="J454" i="11"/>
  <c r="J165" i="11"/>
  <c r="S165" i="11" s="1"/>
  <c r="J1072" i="11"/>
  <c r="J1184" i="11"/>
  <c r="J33" i="11"/>
  <c r="S33" i="11" s="1"/>
  <c r="J1100" i="11"/>
  <c r="J399" i="11"/>
  <c r="J1080" i="11"/>
  <c r="J1132" i="11"/>
  <c r="J1104" i="11"/>
  <c r="J146" i="11"/>
  <c r="S146" i="11" s="1"/>
  <c r="J1208" i="11"/>
  <c r="J1295" i="11"/>
  <c r="J1035" i="11"/>
  <c r="J1236" i="11"/>
  <c r="J183" i="11"/>
  <c r="S183" i="11" s="1"/>
  <c r="J1043" i="11"/>
  <c r="J384" i="11"/>
  <c r="J137" i="11"/>
  <c r="S137" i="11" s="1"/>
  <c r="J131" i="11"/>
  <c r="S131" i="11" s="1"/>
  <c r="J1280" i="11"/>
  <c r="J186" i="11"/>
  <c r="J1028" i="11"/>
  <c r="J1290" i="11"/>
  <c r="J1136" i="11"/>
  <c r="J595" i="11"/>
  <c r="B14" i="6"/>
  <c r="E9" i="11" s="1"/>
  <c r="S448" i="11" l="1"/>
  <c r="N448" i="11"/>
  <c r="S82" i="11"/>
  <c r="N82" i="11"/>
  <c r="S186" i="11"/>
  <c r="N186" i="11"/>
  <c r="R1820" i="11"/>
  <c r="T1820" i="11" s="1"/>
  <c r="W1820" i="11" s="1"/>
  <c r="O1820" i="11"/>
  <c r="O1818" i="11"/>
  <c r="R1818" i="11"/>
  <c r="T1818" i="11" s="1"/>
  <c r="X1818" i="11" s="1"/>
  <c r="R1817" i="11"/>
  <c r="T1817" i="11" s="1"/>
  <c r="O1817" i="11"/>
  <c r="R1819" i="11"/>
  <c r="T1819" i="11" s="1"/>
  <c r="O1819" i="11"/>
  <c r="R556" i="11"/>
  <c r="T556" i="11" s="1"/>
  <c r="O556" i="11"/>
  <c r="P435" i="11" s="1"/>
  <c r="R1821" i="11"/>
  <c r="T1821" i="11" s="1"/>
  <c r="W1821" i="11" s="1"/>
  <c r="O1821" i="11"/>
  <c r="R36" i="11"/>
  <c r="T36" i="11" s="1"/>
  <c r="O36" i="11"/>
  <c r="R912" i="11"/>
  <c r="T912" i="11" s="1"/>
  <c r="O912" i="11"/>
  <c r="P889" i="11" s="1"/>
  <c r="S1136" i="11"/>
  <c r="N1136" i="11"/>
  <c r="S1228" i="11"/>
  <c r="N1228" i="11"/>
  <c r="N1204" i="11"/>
  <c r="S1204" i="11"/>
  <c r="N1012" i="11"/>
  <c r="S1012" i="11"/>
  <c r="S389" i="11"/>
  <c r="N389" i="11"/>
  <c r="N1031" i="11"/>
  <c r="S1031" i="11"/>
  <c r="S1039" i="11"/>
  <c r="N1039" i="11"/>
  <c r="N1196" i="11"/>
  <c r="S1196" i="11"/>
  <c r="N1265" i="11"/>
  <c r="S1265" i="11"/>
  <c r="S766" i="11"/>
  <c r="N766" i="11"/>
  <c r="S743" i="11"/>
  <c r="N743" i="11"/>
  <c r="N244" i="11"/>
  <c r="S244" i="11"/>
  <c r="S778" i="11"/>
  <c r="N778" i="11"/>
  <c r="S813" i="11"/>
  <c r="N813" i="11"/>
  <c r="S894" i="11"/>
  <c r="N894" i="11"/>
  <c r="S1007" i="11"/>
  <c r="N1007" i="11"/>
  <c r="S549" i="11"/>
  <c r="N549" i="11"/>
  <c r="S664" i="11"/>
  <c r="N664" i="11"/>
  <c r="N474" i="11"/>
  <c r="S474" i="11"/>
  <c r="N854" i="11"/>
  <c r="S854" i="11"/>
  <c r="N723" i="11"/>
  <c r="S723" i="11"/>
  <c r="N696" i="11"/>
  <c r="S696" i="11"/>
  <c r="N1047" i="11"/>
  <c r="S1047" i="11"/>
  <c r="S998" i="11"/>
  <c r="N998" i="11"/>
  <c r="S920" i="11"/>
  <c r="N920" i="11"/>
  <c r="S855" i="11"/>
  <c r="N855" i="11"/>
  <c r="N775" i="11"/>
  <c r="S775" i="11"/>
  <c r="N700" i="11"/>
  <c r="S700" i="11"/>
  <c r="N983" i="11"/>
  <c r="S983" i="11"/>
  <c r="S931" i="11"/>
  <c r="N931" i="11"/>
  <c r="N800" i="11"/>
  <c r="S800" i="11"/>
  <c r="N796" i="11"/>
  <c r="S796" i="11"/>
  <c r="S896" i="11"/>
  <c r="N896" i="11"/>
  <c r="N941" i="11"/>
  <c r="S941" i="11"/>
  <c r="S447" i="11"/>
  <c r="N447" i="11"/>
  <c r="N239" i="11"/>
  <c r="S239" i="11"/>
  <c r="S1018" i="11"/>
  <c r="N1018" i="11"/>
  <c r="S754" i="11"/>
  <c r="N754" i="11"/>
  <c r="S758" i="11"/>
  <c r="N758" i="11"/>
  <c r="S761" i="11"/>
  <c r="N761" i="11"/>
  <c r="S771" i="11"/>
  <c r="N771" i="11"/>
  <c r="S748" i="11"/>
  <c r="N748" i="11"/>
  <c r="S829" i="11"/>
  <c r="N829" i="11"/>
  <c r="N353" i="11"/>
  <c r="S353" i="11"/>
  <c r="N453" i="11"/>
  <c r="S453" i="11"/>
  <c r="N398" i="11"/>
  <c r="S398" i="11"/>
  <c r="N230" i="11"/>
  <c r="S230" i="11"/>
  <c r="N231" i="11"/>
  <c r="S231" i="11"/>
  <c r="N235" i="11"/>
  <c r="S235" i="11"/>
  <c r="N227" i="11"/>
  <c r="S227" i="11"/>
  <c r="N653" i="11"/>
  <c r="S653" i="11"/>
  <c r="N666" i="11"/>
  <c r="S666" i="11"/>
  <c r="N690" i="11"/>
  <c r="S690" i="11"/>
  <c r="N243" i="11"/>
  <c r="S243" i="11"/>
  <c r="N674" i="11"/>
  <c r="S674" i="11"/>
  <c r="N658" i="11"/>
  <c r="S658" i="11"/>
  <c r="N217" i="11"/>
  <c r="S217" i="11"/>
  <c r="S678" i="11"/>
  <c r="N678" i="11"/>
  <c r="S531" i="11"/>
  <c r="N531" i="11"/>
  <c r="N927" i="11"/>
  <c r="S927" i="11"/>
  <c r="N553" i="11"/>
  <c r="S553" i="11"/>
  <c r="N543" i="11"/>
  <c r="S543" i="11"/>
  <c r="N651" i="11"/>
  <c r="S651" i="11"/>
  <c r="N471" i="11"/>
  <c r="S471" i="11"/>
  <c r="S1290" i="11"/>
  <c r="N1290" i="11"/>
  <c r="S384" i="11"/>
  <c r="N384" i="11"/>
  <c r="S1295" i="11"/>
  <c r="N1295" i="11"/>
  <c r="S1132" i="11"/>
  <c r="N1132" i="11"/>
  <c r="N1184" i="11"/>
  <c r="S1184" i="11"/>
  <c r="S1140" i="11"/>
  <c r="N1140" i="11"/>
  <c r="S1025" i="11"/>
  <c r="N1025" i="11"/>
  <c r="N1076" i="11"/>
  <c r="S1076" i="11"/>
  <c r="S1124" i="11"/>
  <c r="N1124" i="11"/>
  <c r="S1188" i="11"/>
  <c r="N1188" i="11"/>
  <c r="S458" i="11"/>
  <c r="N458" i="11"/>
  <c r="N404" i="11"/>
  <c r="S404" i="11"/>
  <c r="N897" i="11"/>
  <c r="S897" i="11"/>
  <c r="N672" i="11"/>
  <c r="S672" i="11"/>
  <c r="N681" i="11"/>
  <c r="S681" i="11"/>
  <c r="S822" i="11"/>
  <c r="N822" i="11"/>
  <c r="S676" i="11"/>
  <c r="N676" i="11"/>
  <c r="N538" i="11"/>
  <c r="S538" i="11"/>
  <c r="S1200" i="11"/>
  <c r="N1200" i="11"/>
  <c r="S846" i="11"/>
  <c r="N846" i="11"/>
  <c r="S807" i="11"/>
  <c r="N807" i="11"/>
  <c r="S841" i="11"/>
  <c r="N841" i="11"/>
  <c r="S726" i="11"/>
  <c r="N726" i="11"/>
  <c r="S520" i="11"/>
  <c r="N520" i="11"/>
  <c r="S825" i="11"/>
  <c r="N825" i="11"/>
  <c r="N810" i="11"/>
  <c r="S810" i="11"/>
  <c r="N835" i="11"/>
  <c r="S835" i="11"/>
  <c r="N755" i="11"/>
  <c r="S755" i="11"/>
  <c r="N245" i="11"/>
  <c r="S245" i="11"/>
  <c r="S1810" i="11"/>
  <c r="N1810" i="11"/>
  <c r="S826" i="11"/>
  <c r="N826" i="11"/>
  <c r="S798" i="11"/>
  <c r="N798" i="11"/>
  <c r="S783" i="11"/>
  <c r="N783" i="11"/>
  <c r="S776" i="11"/>
  <c r="N776" i="11"/>
  <c r="N844" i="11"/>
  <c r="S844" i="11"/>
  <c r="S725" i="11"/>
  <c r="N725" i="11"/>
  <c r="S1010" i="11"/>
  <c r="N1010" i="11"/>
  <c r="N722" i="11"/>
  <c r="S722" i="11"/>
  <c r="N718" i="11"/>
  <c r="S718" i="11"/>
  <c r="S724" i="11"/>
  <c r="N724" i="11"/>
  <c r="N737" i="11"/>
  <c r="S737" i="11"/>
  <c r="S716" i="11"/>
  <c r="N716" i="11"/>
  <c r="S937" i="11"/>
  <c r="N937" i="11"/>
  <c r="N1819" i="11"/>
  <c r="S1819" i="11"/>
  <c r="N228" i="11"/>
  <c r="S228" i="11"/>
  <c r="N657" i="11"/>
  <c r="S657" i="11"/>
  <c r="N612" i="11"/>
  <c r="S612" i="11"/>
  <c r="N1008" i="11"/>
  <c r="S1008" i="11"/>
  <c r="N528" i="11"/>
  <c r="S528" i="11"/>
  <c r="N555" i="11"/>
  <c r="S555" i="11"/>
  <c r="N680" i="11"/>
  <c r="S680" i="11"/>
  <c r="N473" i="11"/>
  <c r="S473" i="11"/>
  <c r="S809" i="11"/>
  <c r="N809" i="11"/>
  <c r="N438" i="11"/>
  <c r="S438" i="11"/>
  <c r="N752" i="11"/>
  <c r="S752" i="11"/>
  <c r="N665" i="11"/>
  <c r="S665" i="11"/>
  <c r="N609" i="11"/>
  <c r="S609" i="11"/>
  <c r="N403" i="11"/>
  <c r="S403" i="11"/>
  <c r="N540" i="11"/>
  <c r="S540" i="11"/>
  <c r="S693" i="11"/>
  <c r="N693" i="11"/>
  <c r="S532" i="11"/>
  <c r="N532" i="11"/>
  <c r="N232" i="11"/>
  <c r="S232" i="11"/>
  <c r="N705" i="11"/>
  <c r="S705" i="11"/>
  <c r="N605" i="11"/>
  <c r="S605" i="11"/>
  <c r="H269" i="11"/>
  <c r="I269" i="11" s="1"/>
  <c r="J269" i="11" s="1"/>
  <c r="H293" i="11"/>
  <c r="I293" i="11" s="1"/>
  <c r="J293" i="11" s="1"/>
  <c r="H281" i="11"/>
  <c r="I281" i="11" s="1"/>
  <c r="J281" i="11" s="1"/>
  <c r="H485" i="11"/>
  <c r="I485" i="11" s="1"/>
  <c r="J485" i="11" s="1"/>
  <c r="H493" i="11"/>
  <c r="I493" i="11" s="1"/>
  <c r="J493" i="11" s="1"/>
  <c r="H299" i="11"/>
  <c r="I299" i="11" s="1"/>
  <c r="J299" i="11" s="1"/>
  <c r="H486" i="11"/>
  <c r="I486" i="11" s="1"/>
  <c r="J486" i="11" s="1"/>
  <c r="H278" i="11"/>
  <c r="I278" i="11" s="1"/>
  <c r="J278" i="11" s="1"/>
  <c r="H340" i="11"/>
  <c r="I340" i="11" s="1"/>
  <c r="J340" i="11" s="1"/>
  <c r="H284" i="11"/>
  <c r="I284" i="11" s="1"/>
  <c r="J284" i="11" s="1"/>
  <c r="H287" i="11"/>
  <c r="I287" i="11" s="1"/>
  <c r="J287" i="11" s="1"/>
  <c r="H512" i="11"/>
  <c r="H483" i="11"/>
  <c r="I483" i="11" s="1"/>
  <c r="J483" i="11" s="1"/>
  <c r="H220" i="11"/>
  <c r="I220" i="11" s="1"/>
  <c r="J220" i="11" s="1"/>
  <c r="H482" i="11"/>
  <c r="I482" i="11" s="1"/>
  <c r="J482" i="11" s="1"/>
  <c r="H254" i="11"/>
  <c r="I254" i="11" s="1"/>
  <c r="J254" i="11" s="1"/>
  <c r="H334" i="11"/>
  <c r="I334" i="11" s="1"/>
  <c r="J334" i="11" s="1"/>
  <c r="H272" i="11"/>
  <c r="I272" i="11" s="1"/>
  <c r="J272" i="11" s="1"/>
  <c r="H275" i="11"/>
  <c r="I275" i="11" s="1"/>
  <c r="J275" i="11" s="1"/>
  <c r="H317" i="11"/>
  <c r="I317" i="11" s="1"/>
  <c r="J317" i="11" s="1"/>
  <c r="H507" i="11"/>
  <c r="I507" i="11" s="1"/>
  <c r="J507" i="11" s="1"/>
  <c r="H307" i="11"/>
  <c r="I307" i="11" s="1"/>
  <c r="J307" i="11" s="1"/>
  <c r="H290" i="11"/>
  <c r="I290" i="11" s="1"/>
  <c r="J290" i="11" s="1"/>
  <c r="H296" i="11"/>
  <c r="I296" i="11" s="1"/>
  <c r="J296" i="11" s="1"/>
  <c r="H218" i="11"/>
  <c r="I218" i="11" s="1"/>
  <c r="J218" i="11" s="1"/>
  <c r="J989" i="11"/>
  <c r="J1003" i="11"/>
  <c r="H502" i="11"/>
  <c r="I502" i="11" s="1"/>
  <c r="J502" i="11" s="1"/>
  <c r="H484" i="11"/>
  <c r="I484" i="11" s="1"/>
  <c r="J484" i="11" s="1"/>
  <c r="H264" i="11"/>
  <c r="I264" i="11" s="1"/>
  <c r="J264" i="11" s="1"/>
  <c r="H303" i="11"/>
  <c r="I303" i="11" s="1"/>
  <c r="J303" i="11" s="1"/>
  <c r="J938" i="11"/>
  <c r="H489" i="11"/>
  <c r="I489" i="11" s="1"/>
  <c r="J489" i="11" s="1"/>
  <c r="H221" i="11"/>
  <c r="I221" i="11" s="1"/>
  <c r="J221" i="11" s="1"/>
  <c r="J939" i="11"/>
  <c r="J988" i="11"/>
  <c r="H497" i="11"/>
  <c r="I497" i="11" s="1"/>
  <c r="J497" i="11" s="1"/>
  <c r="H328" i="11"/>
  <c r="I328" i="11" s="1"/>
  <c r="J328" i="11" s="1"/>
  <c r="H219" i="11"/>
  <c r="I219" i="11" s="1"/>
  <c r="J219" i="11" s="1"/>
  <c r="J987" i="11"/>
  <c r="J940" i="11"/>
  <c r="H322" i="11"/>
  <c r="I322" i="11" s="1"/>
  <c r="J322" i="11" s="1"/>
  <c r="H259" i="11"/>
  <c r="I259" i="11" s="1"/>
  <c r="J259" i="11" s="1"/>
  <c r="J1002" i="11"/>
  <c r="J1005" i="11"/>
  <c r="H346" i="11"/>
  <c r="I346" i="11" s="1"/>
  <c r="J346" i="11" s="1"/>
  <c r="H249" i="11"/>
  <c r="I249" i="11" s="1"/>
  <c r="J249" i="11" s="1"/>
  <c r="J990" i="11"/>
  <c r="J1004" i="11"/>
  <c r="H312" i="11"/>
  <c r="I312" i="11" s="1"/>
  <c r="J312" i="11" s="1"/>
  <c r="N1280" i="11"/>
  <c r="S1280" i="11"/>
  <c r="S1208" i="11"/>
  <c r="N1208" i="11"/>
  <c r="N399" i="11"/>
  <c r="S399" i="11"/>
  <c r="N1270" i="11"/>
  <c r="S1270" i="11"/>
  <c r="S1160" i="11"/>
  <c r="N1160" i="11"/>
  <c r="S1120" i="11"/>
  <c r="N1120" i="11"/>
  <c r="S904" i="11"/>
  <c r="N904" i="11"/>
  <c r="S1084" i="11"/>
  <c r="N1084" i="11"/>
  <c r="N1128" i="11"/>
  <c r="S1128" i="11"/>
  <c r="S1275" i="11"/>
  <c r="N1275" i="11"/>
  <c r="S933" i="11"/>
  <c r="N933" i="11"/>
  <c r="S1232" i="11"/>
  <c r="N1232" i="11"/>
  <c r="S1224" i="11"/>
  <c r="N1224" i="11"/>
  <c r="N1096" i="11"/>
  <c r="S1096" i="11"/>
  <c r="S1305" i="11"/>
  <c r="N1305" i="11"/>
  <c r="N1164" i="11"/>
  <c r="S1164" i="11"/>
  <c r="N1300" i="11"/>
  <c r="S1300" i="11"/>
  <c r="N1310" i="11"/>
  <c r="S1310" i="11"/>
  <c r="S991" i="11"/>
  <c r="N991" i="11"/>
  <c r="S793" i="11"/>
  <c r="N793" i="11"/>
  <c r="N712" i="11"/>
  <c r="S712" i="11"/>
  <c r="S741" i="11"/>
  <c r="N741" i="11"/>
  <c r="N659" i="11"/>
  <c r="S659" i="11"/>
  <c r="S924" i="11"/>
  <c r="N924" i="11"/>
  <c r="S847" i="11"/>
  <c r="N847" i="11"/>
  <c r="S792" i="11"/>
  <c r="N792" i="11"/>
  <c r="N1017" i="11"/>
  <c r="S1017" i="11"/>
  <c r="S770" i="11"/>
  <c r="N770" i="11"/>
  <c r="S751" i="11"/>
  <c r="N751" i="11"/>
  <c r="N840" i="11"/>
  <c r="S840" i="11"/>
  <c r="N787" i="11"/>
  <c r="S787" i="11"/>
  <c r="S926" i="11"/>
  <c r="N926" i="11"/>
  <c r="N523" i="11"/>
  <c r="S523" i="11"/>
  <c r="S451" i="11"/>
  <c r="N451" i="11"/>
  <c r="S1021" i="11"/>
  <c r="N1021" i="11"/>
  <c r="N827" i="11"/>
  <c r="S827" i="11"/>
  <c r="S732" i="11"/>
  <c r="N732" i="11"/>
  <c r="N679" i="11"/>
  <c r="S679" i="11"/>
  <c r="S942" i="11"/>
  <c r="N942" i="11"/>
  <c r="N756" i="11"/>
  <c r="S756" i="11"/>
  <c r="S819" i="11"/>
  <c r="N819" i="11"/>
  <c r="S1016" i="11"/>
  <c r="N1016" i="11"/>
  <c r="S746" i="11"/>
  <c r="N746" i="11"/>
  <c r="S710" i="11"/>
  <c r="N710" i="11"/>
  <c r="S803" i="11"/>
  <c r="N803" i="11"/>
  <c r="N1064" i="11"/>
  <c r="S1064" i="11"/>
  <c r="S728" i="11"/>
  <c r="N728" i="11"/>
  <c r="N781" i="11"/>
  <c r="S781" i="11"/>
  <c r="N687" i="11"/>
  <c r="S687" i="11"/>
  <c r="N683" i="11"/>
  <c r="S683" i="11"/>
  <c r="S1011" i="11"/>
  <c r="N1011" i="11"/>
  <c r="S794" i="11"/>
  <c r="N794" i="11"/>
  <c r="N997" i="11"/>
  <c r="S997" i="11"/>
  <c r="S782" i="11"/>
  <c r="N782" i="11"/>
  <c r="S893" i="11"/>
  <c r="N893" i="11"/>
  <c r="N763" i="11"/>
  <c r="S763" i="11"/>
  <c r="S891" i="11"/>
  <c r="N891" i="11"/>
  <c r="S759" i="11"/>
  <c r="N759" i="11"/>
  <c r="S548" i="11"/>
  <c r="N548" i="11"/>
  <c r="S817" i="11"/>
  <c r="N817" i="11"/>
  <c r="S603" i="11"/>
  <c r="N603" i="11"/>
  <c r="S757" i="11"/>
  <c r="N757" i="11"/>
  <c r="N848" i="11"/>
  <c r="S848" i="11"/>
  <c r="N747" i="11"/>
  <c r="S747" i="11"/>
  <c r="N715" i="11"/>
  <c r="S715" i="11"/>
  <c r="N767" i="11"/>
  <c r="S767" i="11"/>
  <c r="N1285" i="11"/>
  <c r="S1285" i="11"/>
  <c r="S992" i="11"/>
  <c r="N992" i="11"/>
  <c r="N818" i="11"/>
  <c r="S818" i="11"/>
  <c r="S943" i="11"/>
  <c r="N943" i="11"/>
  <c r="S790" i="11"/>
  <c r="N790" i="11"/>
  <c r="S815" i="11"/>
  <c r="N815" i="11"/>
  <c r="S655" i="11"/>
  <c r="N655" i="11"/>
  <c r="N808" i="11"/>
  <c r="S808" i="11"/>
  <c r="S660" i="11"/>
  <c r="N660" i="11"/>
  <c r="N812" i="11"/>
  <c r="S812" i="11"/>
  <c r="S656" i="11"/>
  <c r="N656" i="11"/>
  <c r="S765" i="11"/>
  <c r="N765" i="11"/>
  <c r="N777" i="11"/>
  <c r="S777" i="11"/>
  <c r="N713" i="11"/>
  <c r="S713" i="11"/>
  <c r="N704" i="11"/>
  <c r="S704" i="11"/>
  <c r="N735" i="11"/>
  <c r="S735" i="11"/>
  <c r="S1813" i="11"/>
  <c r="N1813" i="11"/>
  <c r="S601" i="11"/>
  <c r="N601" i="11"/>
  <c r="N527" i="11"/>
  <c r="S527" i="11"/>
  <c r="S529" i="11"/>
  <c r="N529" i="11"/>
  <c r="N600" i="11"/>
  <c r="S600" i="11"/>
  <c r="N477" i="11"/>
  <c r="S477" i="11"/>
  <c r="S439" i="11"/>
  <c r="N439" i="11"/>
  <c r="N784" i="11"/>
  <c r="S784" i="11"/>
  <c r="N242" i="11"/>
  <c r="S242" i="11"/>
  <c r="N836" i="11"/>
  <c r="S836" i="11"/>
  <c r="N518" i="11"/>
  <c r="S518" i="11"/>
  <c r="N772" i="11"/>
  <c r="S772" i="11"/>
  <c r="N614" i="11"/>
  <c r="S614" i="11"/>
  <c r="N709" i="11"/>
  <c r="S709" i="11"/>
  <c r="N541" i="11"/>
  <c r="S541" i="11"/>
  <c r="N248" i="11"/>
  <c r="S248" i="11"/>
  <c r="N698" i="11"/>
  <c r="S698" i="11"/>
  <c r="S533" i="11"/>
  <c r="N533" i="11"/>
  <c r="N233" i="11"/>
  <c r="S233" i="11"/>
  <c r="N711" i="11"/>
  <c r="S711" i="11"/>
  <c r="N608" i="11"/>
  <c r="S608" i="11"/>
  <c r="N442" i="11"/>
  <c r="S442" i="11"/>
  <c r="N701" i="11"/>
  <c r="S701" i="11"/>
  <c r="N539" i="11"/>
  <c r="S539" i="11"/>
  <c r="S246" i="11"/>
  <c r="N246" i="11"/>
  <c r="N691" i="11"/>
  <c r="S691" i="11"/>
  <c r="N524" i="11"/>
  <c r="S524" i="11"/>
  <c r="N899" i="11"/>
  <c r="S899" i="11"/>
  <c r="N675" i="11"/>
  <c r="S675" i="11"/>
  <c r="N481" i="11"/>
  <c r="S481" i="11"/>
  <c r="N247" i="11"/>
  <c r="S247" i="11"/>
  <c r="N689" i="11"/>
  <c r="S689" i="11"/>
  <c r="N537" i="11"/>
  <c r="S537" i="11"/>
  <c r="S1035" i="11"/>
  <c r="N1035" i="11"/>
  <c r="N1104" i="11"/>
  <c r="S1104" i="11"/>
  <c r="S1108" i="11"/>
  <c r="N1108" i="11"/>
  <c r="S222" i="11"/>
  <c r="N222" i="11"/>
  <c r="S912" i="11"/>
  <c r="N912" i="11"/>
  <c r="S1056" i="11"/>
  <c r="N1056" i="11"/>
  <c r="S900" i="11"/>
  <c r="N900" i="11"/>
  <c r="N466" i="11"/>
  <c r="S466" i="11"/>
  <c r="S1156" i="11"/>
  <c r="N1156" i="11"/>
  <c r="S823" i="11"/>
  <c r="N823" i="11"/>
  <c r="S1812" i="11"/>
  <c r="N1812" i="11"/>
  <c r="N736" i="11"/>
  <c r="S736" i="11"/>
  <c r="N1244" i="11"/>
  <c r="S1244" i="11"/>
  <c r="N932" i="11"/>
  <c r="S932" i="11"/>
  <c r="S851" i="11"/>
  <c r="N851" i="11"/>
  <c r="S773" i="11"/>
  <c r="N773" i="11"/>
  <c r="N534" i="11"/>
  <c r="S534" i="11"/>
  <c r="S895" i="11"/>
  <c r="N895" i="11"/>
  <c r="S842" i="11"/>
  <c r="N842" i="11"/>
  <c r="S727" i="11"/>
  <c r="N727" i="11"/>
  <c r="N1816" i="11"/>
  <c r="S1816" i="11"/>
  <c r="N838" i="11"/>
  <c r="S838" i="11"/>
  <c r="N744" i="11"/>
  <c r="S744" i="11"/>
  <c r="S994" i="11"/>
  <c r="N994" i="11"/>
  <c r="S669" i="11"/>
  <c r="N669" i="11"/>
  <c r="N923" i="11"/>
  <c r="S923" i="11"/>
  <c r="N730" i="11"/>
  <c r="S730" i="11"/>
  <c r="N734" i="11"/>
  <c r="S734" i="11"/>
  <c r="S663" i="11"/>
  <c r="N663" i="11"/>
  <c r="N668" i="11"/>
  <c r="S668" i="11"/>
  <c r="S753" i="11"/>
  <c r="N753" i="11"/>
  <c r="N821" i="11"/>
  <c r="S821" i="11"/>
  <c r="N381" i="11"/>
  <c r="S381" i="11"/>
  <c r="N470" i="11"/>
  <c r="S470" i="11"/>
  <c r="S944" i="11"/>
  <c r="N944" i="11"/>
  <c r="S830" i="11"/>
  <c r="N830" i="11"/>
  <c r="S852" i="11"/>
  <c r="N852" i="11"/>
  <c r="N925" i="11"/>
  <c r="S925" i="11"/>
  <c r="S892" i="11"/>
  <c r="N892" i="11"/>
  <c r="N986" i="11"/>
  <c r="S986" i="11"/>
  <c r="N437" i="11"/>
  <c r="S437" i="11"/>
  <c r="N238" i="11"/>
  <c r="S238" i="11"/>
  <c r="N740" i="11"/>
  <c r="S740" i="11"/>
  <c r="S703" i="11"/>
  <c r="N703" i="11"/>
  <c r="S692" i="11"/>
  <c r="N692" i="11"/>
  <c r="N699" i="11"/>
  <c r="S699" i="11"/>
  <c r="N684" i="11"/>
  <c r="S684" i="11"/>
  <c r="N604" i="11"/>
  <c r="S604" i="11"/>
  <c r="N522" i="11"/>
  <c r="S522" i="11"/>
  <c r="N449" i="11"/>
  <c r="S449" i="11"/>
  <c r="N811" i="11"/>
  <c r="S811" i="11"/>
  <c r="S441" i="11"/>
  <c r="N441" i="11"/>
  <c r="N673" i="11"/>
  <c r="S673" i="11"/>
  <c r="N472" i="11"/>
  <c r="S472" i="11"/>
  <c r="N779" i="11"/>
  <c r="S779" i="11"/>
  <c r="N408" i="11"/>
  <c r="S408" i="11"/>
  <c r="N720" i="11"/>
  <c r="S720" i="11"/>
  <c r="N240" i="11"/>
  <c r="S240" i="11"/>
  <c r="N816" i="11"/>
  <c r="S816" i="11"/>
  <c r="N1080" i="11"/>
  <c r="S1080" i="11"/>
  <c r="S1072" i="11"/>
  <c r="N1072" i="11"/>
  <c r="S1168" i="11"/>
  <c r="N1168" i="11"/>
  <c r="N999" i="11"/>
  <c r="S999" i="11"/>
  <c r="S1144" i="11"/>
  <c r="N1144" i="11"/>
  <c r="S462" i="11"/>
  <c r="N462" i="11"/>
  <c r="S1022" i="11"/>
  <c r="N1022" i="11"/>
  <c r="S1220" i="11"/>
  <c r="N1220" i="11"/>
  <c r="S1248" i="11"/>
  <c r="N1248" i="11"/>
  <c r="S1088" i="11"/>
  <c r="N1088" i="11"/>
  <c r="S1092" i="11"/>
  <c r="N1092" i="11"/>
  <c r="N1148" i="11"/>
  <c r="S1148" i="11"/>
  <c r="S1216" i="11"/>
  <c r="N1216" i="11"/>
  <c r="S764" i="11"/>
  <c r="N764" i="11"/>
  <c r="N1020" i="11"/>
  <c r="S1020" i="11"/>
  <c r="N475" i="11"/>
  <c r="S475" i="11"/>
  <c r="S834" i="11"/>
  <c r="N834" i="11"/>
  <c r="S948" i="11"/>
  <c r="N948" i="11"/>
  <c r="S552" i="11"/>
  <c r="N552" i="11"/>
  <c r="N837" i="11"/>
  <c r="S837" i="11"/>
  <c r="N1811" i="11"/>
  <c r="S1811" i="11"/>
  <c r="S1814" i="11"/>
  <c r="N1814" i="11"/>
  <c r="S801" i="11"/>
  <c r="N801" i="11"/>
  <c r="S714" i="11"/>
  <c r="N714" i="11"/>
  <c r="N898" i="11"/>
  <c r="S898" i="11"/>
  <c r="N1818" i="11"/>
  <c r="S1818" i="11"/>
  <c r="S806" i="11"/>
  <c r="N806" i="11"/>
  <c r="S615" i="11"/>
  <c r="N615" i="11"/>
  <c r="S717" i="11"/>
  <c r="N717" i="11"/>
  <c r="N236" i="11"/>
  <c r="S236" i="11"/>
  <c r="N1192" i="11"/>
  <c r="S1192" i="11"/>
  <c r="S1009" i="11"/>
  <c r="N1009" i="11"/>
  <c r="S993" i="11"/>
  <c r="N993" i="11"/>
  <c r="S928" i="11"/>
  <c r="N928" i="11"/>
  <c r="N607" i="11"/>
  <c r="S607" i="11"/>
  <c r="N721" i="11"/>
  <c r="S721" i="11"/>
  <c r="S853" i="11"/>
  <c r="N853" i="11"/>
  <c r="S1817" i="11"/>
  <c r="N1817" i="11"/>
  <c r="N850" i="11"/>
  <c r="S850" i="11"/>
  <c r="N814" i="11"/>
  <c r="S814" i="11"/>
  <c r="S832" i="11"/>
  <c r="N832" i="11"/>
  <c r="N828" i="11"/>
  <c r="S828" i="11"/>
  <c r="S839" i="11"/>
  <c r="N839" i="11"/>
  <c r="S733" i="11"/>
  <c r="N733" i="11"/>
  <c r="N685" i="11"/>
  <c r="S685" i="11"/>
  <c r="N670" i="11"/>
  <c r="S670" i="11"/>
  <c r="N550" i="11"/>
  <c r="S550" i="11"/>
  <c r="N526" i="11"/>
  <c r="S526" i="11"/>
  <c r="N606" i="11"/>
  <c r="S606" i="11"/>
  <c r="N554" i="11"/>
  <c r="S554" i="11"/>
  <c r="N241" i="11"/>
  <c r="S241" i="11"/>
  <c r="N831" i="11"/>
  <c r="S831" i="11"/>
  <c r="N476" i="11"/>
  <c r="S476" i="11"/>
  <c r="N745" i="11"/>
  <c r="S745" i="11"/>
  <c r="N708" i="11"/>
  <c r="S708" i="11"/>
  <c r="N237" i="11"/>
  <c r="S237" i="11"/>
  <c r="N388" i="11"/>
  <c r="S388" i="11"/>
  <c r="N595" i="11"/>
  <c r="S595" i="11"/>
  <c r="S1028" i="11"/>
  <c r="N1028" i="11"/>
  <c r="S1043" i="11"/>
  <c r="N1043" i="11"/>
  <c r="S1236" i="11"/>
  <c r="N1236" i="11"/>
  <c r="S1100" i="11"/>
  <c r="N1100" i="11"/>
  <c r="N454" i="11"/>
  <c r="S454" i="11"/>
  <c r="S1260" i="11"/>
  <c r="N1260" i="11"/>
  <c r="S916" i="11"/>
  <c r="N916" i="11"/>
  <c r="S1172" i="11"/>
  <c r="N1172" i="11"/>
  <c r="N443" i="11"/>
  <c r="S443" i="11"/>
  <c r="S1240" i="11"/>
  <c r="N1240" i="11"/>
  <c r="S1152" i="11"/>
  <c r="N1152" i="11"/>
  <c r="N1051" i="11"/>
  <c r="S1051" i="11"/>
  <c r="S1256" i="11"/>
  <c r="N1256" i="11"/>
  <c r="S908" i="11"/>
  <c r="N908" i="11"/>
  <c r="N1112" i="11"/>
  <c r="S1112" i="11"/>
  <c r="N394" i="11"/>
  <c r="S394" i="11"/>
  <c r="S1068" i="11"/>
  <c r="N1068" i="11"/>
  <c r="N1212" i="11"/>
  <c r="S1212" i="11"/>
  <c r="N1116" i="11"/>
  <c r="S1116" i="11"/>
  <c r="S591" i="11"/>
  <c r="N591" i="11"/>
  <c r="N1176" i="11"/>
  <c r="S1176" i="11"/>
  <c r="S802" i="11"/>
  <c r="N802" i="11"/>
  <c r="N610" i="11"/>
  <c r="S610" i="11"/>
  <c r="N824" i="11"/>
  <c r="S824" i="11"/>
  <c r="S946" i="11"/>
  <c r="N946" i="11"/>
  <c r="N229" i="11"/>
  <c r="S229" i="11"/>
  <c r="N984" i="11"/>
  <c r="S984" i="11"/>
  <c r="S788" i="11"/>
  <c r="N788" i="11"/>
  <c r="N480" i="11"/>
  <c r="S480" i="11"/>
  <c r="N536" i="11"/>
  <c r="S536" i="11"/>
  <c r="N1006" i="11"/>
  <c r="S1006" i="11"/>
  <c r="S1252" i="11"/>
  <c r="N1252" i="11"/>
  <c r="S731" i="11"/>
  <c r="N731" i="11"/>
  <c r="S652" i="11"/>
  <c r="N652" i="11"/>
  <c r="S760" i="11"/>
  <c r="N760" i="11"/>
  <c r="S738" i="11"/>
  <c r="N738" i="11"/>
  <c r="S768" i="11"/>
  <c r="N768" i="11"/>
  <c r="S556" i="11"/>
  <c r="N556" i="11"/>
  <c r="N805" i="11"/>
  <c r="S805" i="11"/>
  <c r="S1821" i="11"/>
  <c r="N1821" i="11"/>
  <c r="S985" i="11"/>
  <c r="N985" i="11"/>
  <c r="S742" i="11"/>
  <c r="N742" i="11"/>
  <c r="S671" i="11"/>
  <c r="N671" i="11"/>
  <c r="S749" i="11"/>
  <c r="N749" i="11"/>
  <c r="S996" i="11"/>
  <c r="N996" i="11"/>
  <c r="S929" i="11"/>
  <c r="N929" i="11"/>
  <c r="S719" i="11"/>
  <c r="N719" i="11"/>
  <c r="N769" i="11"/>
  <c r="S769" i="11"/>
  <c r="S849" i="11"/>
  <c r="N849" i="11"/>
  <c r="S611" i="11"/>
  <c r="N611" i="11"/>
  <c r="N845" i="11"/>
  <c r="S845" i="11"/>
  <c r="S1815" i="11"/>
  <c r="N1815" i="11"/>
  <c r="N36" i="11"/>
  <c r="S36" i="11"/>
  <c r="S1019" i="11"/>
  <c r="N1019" i="11"/>
  <c r="N995" i="11"/>
  <c r="S995" i="11"/>
  <c r="N762" i="11"/>
  <c r="S762" i="11"/>
  <c r="S945" i="11"/>
  <c r="N945" i="11"/>
  <c r="S750" i="11"/>
  <c r="N750" i="11"/>
  <c r="N820" i="11"/>
  <c r="S820" i="11"/>
  <c r="S729" i="11"/>
  <c r="N729" i="11"/>
  <c r="S833" i="11"/>
  <c r="N833" i="11"/>
  <c r="S739" i="11"/>
  <c r="N739" i="11"/>
  <c r="S1060" i="11"/>
  <c r="N1060" i="11"/>
  <c r="N785" i="11"/>
  <c r="S785" i="11"/>
  <c r="S789" i="11"/>
  <c r="N789" i="11"/>
  <c r="N667" i="11"/>
  <c r="S667" i="11"/>
  <c r="N547" i="11"/>
  <c r="S547" i="11"/>
  <c r="N542" i="11"/>
  <c r="S542" i="11"/>
  <c r="N650" i="11"/>
  <c r="S650" i="11"/>
  <c r="N1180" i="11"/>
  <c r="S1180" i="11"/>
  <c r="S922" i="11"/>
  <c r="N922" i="11"/>
  <c r="S786" i="11"/>
  <c r="N786" i="11"/>
  <c r="S930" i="11"/>
  <c r="N930" i="11"/>
  <c r="S774" i="11"/>
  <c r="N774" i="11"/>
  <c r="N947" i="11"/>
  <c r="S947" i="11"/>
  <c r="S795" i="11"/>
  <c r="N795" i="11"/>
  <c r="S602" i="11"/>
  <c r="N602" i="11"/>
  <c r="S791" i="11"/>
  <c r="N791" i="11"/>
  <c r="S599" i="11"/>
  <c r="N599" i="11"/>
  <c r="S780" i="11"/>
  <c r="N780" i="11"/>
  <c r="S797" i="11"/>
  <c r="N797" i="11"/>
  <c r="N661" i="11"/>
  <c r="S661" i="11"/>
  <c r="N546" i="11"/>
  <c r="S546" i="11"/>
  <c r="S535" i="11"/>
  <c r="N535" i="11"/>
  <c r="N613" i="11"/>
  <c r="S613" i="11"/>
  <c r="S1820" i="11"/>
  <c r="N1820" i="11"/>
  <c r="N478" i="11"/>
  <c r="S478" i="11"/>
  <c r="N440" i="11"/>
  <c r="S440" i="11"/>
  <c r="N799" i="11"/>
  <c r="S799" i="11"/>
  <c r="N382" i="11"/>
  <c r="S382" i="11"/>
  <c r="N843" i="11"/>
  <c r="S843" i="11"/>
  <c r="S521" i="11"/>
  <c r="N521" i="11"/>
  <c r="N707" i="11"/>
  <c r="S707" i="11"/>
  <c r="N393" i="11"/>
  <c r="S393" i="11"/>
  <c r="N702" i="11"/>
  <c r="S702" i="11"/>
  <c r="N224" i="11"/>
  <c r="S224" i="11"/>
  <c r="N688" i="11"/>
  <c r="S688" i="11"/>
  <c r="N450" i="11"/>
  <c r="S450" i="11"/>
  <c r="N695" i="11"/>
  <c r="S695" i="11"/>
  <c r="N706" i="11"/>
  <c r="S706" i="11"/>
  <c r="N545" i="11"/>
  <c r="S545" i="11"/>
  <c r="N352" i="11"/>
  <c r="S352" i="11"/>
  <c r="N697" i="11"/>
  <c r="S697" i="11"/>
  <c r="N525" i="11"/>
  <c r="S525" i="11"/>
  <c r="N223" i="11"/>
  <c r="S223" i="11"/>
  <c r="N921" i="11"/>
  <c r="S921" i="11"/>
  <c r="N682" i="11"/>
  <c r="S682" i="11"/>
  <c r="N519" i="11"/>
  <c r="S519" i="11"/>
  <c r="N452" i="11"/>
  <c r="S452" i="11"/>
  <c r="N226" i="11"/>
  <c r="S226" i="11"/>
  <c r="S694" i="11"/>
  <c r="N694" i="11"/>
  <c r="N544" i="11"/>
  <c r="S544" i="11"/>
  <c r="N686" i="11"/>
  <c r="S686" i="11"/>
  <c r="N479" i="11"/>
  <c r="S479" i="11"/>
  <c r="N234" i="11"/>
  <c r="S234" i="11"/>
  <c r="N662" i="11"/>
  <c r="S662" i="11"/>
  <c r="S804" i="11"/>
  <c r="N804" i="11"/>
  <c r="N654" i="11"/>
  <c r="S654" i="11"/>
  <c r="N383" i="11"/>
  <c r="S383" i="11"/>
  <c r="N890" i="11"/>
  <c r="S890" i="11"/>
  <c r="S677" i="11"/>
  <c r="N677" i="11"/>
  <c r="N530" i="11"/>
  <c r="S530" i="11"/>
  <c r="S225" i="11"/>
  <c r="N225" i="11"/>
  <c r="P18" i="11" l="1"/>
  <c r="O1867" i="11"/>
  <c r="P1809" i="11"/>
  <c r="P1863" i="11" s="1"/>
  <c r="O1858" i="11"/>
  <c r="O1856" i="11"/>
  <c r="O1859" i="11"/>
  <c r="O1863" i="11"/>
  <c r="O1861" i="11"/>
  <c r="V914" i="11"/>
  <c r="V915" i="11"/>
  <c r="V913" i="11"/>
  <c r="T1861" i="11"/>
  <c r="U889" i="11"/>
  <c r="U18" i="11"/>
  <c r="T1856" i="11"/>
  <c r="T1858" i="11"/>
  <c r="T1867" i="11"/>
  <c r="Y556" i="11"/>
  <c r="U435" i="11"/>
  <c r="T1859" i="11"/>
  <c r="Y1817" i="11"/>
  <c r="U1809" i="11"/>
  <c r="T1863" i="11"/>
  <c r="N1860" i="11"/>
  <c r="S990" i="11"/>
  <c r="N990" i="11"/>
  <c r="N987" i="11"/>
  <c r="S987" i="11"/>
  <c r="S938" i="11"/>
  <c r="N938" i="11"/>
  <c r="S296" i="11"/>
  <c r="N296" i="11"/>
  <c r="S317" i="11"/>
  <c r="N317" i="11"/>
  <c r="I512" i="11"/>
  <c r="J512" i="11" s="1"/>
  <c r="S485" i="11"/>
  <c r="N485" i="11"/>
  <c r="N1863" i="11"/>
  <c r="S249" i="11"/>
  <c r="N249" i="11"/>
  <c r="S219" i="11"/>
  <c r="N219" i="11"/>
  <c r="S939" i="11"/>
  <c r="N939" i="11"/>
  <c r="S1003" i="11"/>
  <c r="N1003" i="11"/>
  <c r="S275" i="11"/>
  <c r="N275" i="11"/>
  <c r="N287" i="11"/>
  <c r="S287" i="11"/>
  <c r="S281" i="11"/>
  <c r="N281" i="11"/>
  <c r="S312" i="11"/>
  <c r="N312" i="11"/>
  <c r="S346" i="11"/>
  <c r="N346" i="11"/>
  <c r="N322" i="11"/>
  <c r="S322" i="11"/>
  <c r="N328" i="11"/>
  <c r="S328" i="11"/>
  <c r="N221" i="11"/>
  <c r="S221" i="11"/>
  <c r="S264" i="11"/>
  <c r="N264" i="11"/>
  <c r="S989" i="11"/>
  <c r="N989" i="11"/>
  <c r="S307" i="11"/>
  <c r="N307" i="11"/>
  <c r="N272" i="11"/>
  <c r="S272" i="11"/>
  <c r="S220" i="11"/>
  <c r="N220" i="11"/>
  <c r="N284" i="11"/>
  <c r="S284" i="11"/>
  <c r="S299" i="11"/>
  <c r="N299" i="11"/>
  <c r="S293" i="11"/>
  <c r="N293" i="11"/>
  <c r="S1002" i="11"/>
  <c r="N1002" i="11"/>
  <c r="S988" i="11"/>
  <c r="N988" i="11"/>
  <c r="N502" i="11"/>
  <c r="S502" i="11"/>
  <c r="S254" i="11"/>
  <c r="N254" i="11"/>
  <c r="S278" i="11"/>
  <c r="N278" i="11"/>
  <c r="S259" i="11"/>
  <c r="N259" i="11"/>
  <c r="S303" i="11"/>
  <c r="N303" i="11"/>
  <c r="N290" i="11"/>
  <c r="S290" i="11"/>
  <c r="S482" i="11"/>
  <c r="N482" i="11"/>
  <c r="S486" i="11"/>
  <c r="N486" i="11"/>
  <c r="S1863" i="11"/>
  <c r="S1860" i="11"/>
  <c r="S1004" i="11"/>
  <c r="N1004" i="11"/>
  <c r="S1005" i="11"/>
  <c r="N1005" i="11"/>
  <c r="S940" i="11"/>
  <c r="N940" i="11"/>
  <c r="S497" i="11"/>
  <c r="N497" i="11"/>
  <c r="S489" i="11"/>
  <c r="N489" i="11"/>
  <c r="S484" i="11"/>
  <c r="N484" i="11"/>
  <c r="N218" i="11"/>
  <c r="S218" i="11"/>
  <c r="S507" i="11"/>
  <c r="N507" i="11"/>
  <c r="N334" i="11"/>
  <c r="S334" i="11"/>
  <c r="S483" i="11"/>
  <c r="N483" i="11"/>
  <c r="N340" i="11"/>
  <c r="S340" i="11"/>
  <c r="S493" i="11"/>
  <c r="N493" i="11"/>
  <c r="N269" i="11"/>
  <c r="S269" i="11"/>
  <c r="P1856" i="11" l="1"/>
  <c r="U1867" i="11"/>
  <c r="N1861" i="11"/>
  <c r="S1861" i="11"/>
  <c r="P1859" i="11"/>
  <c r="V435" i="11"/>
  <c r="V1809" i="11"/>
  <c r="P17" i="12"/>
  <c r="F11" i="8"/>
  <c r="U1863" i="11"/>
  <c r="P7" i="12"/>
  <c r="U1856" i="11"/>
  <c r="U1858" i="11"/>
  <c r="W915" i="11"/>
  <c r="Y915" i="11"/>
  <c r="X915" i="11"/>
  <c r="U1861" i="11"/>
  <c r="P15" i="12"/>
  <c r="F9" i="8"/>
  <c r="X914" i="11"/>
  <c r="W914" i="11"/>
  <c r="Y914" i="11"/>
  <c r="F7" i="8"/>
  <c r="U1859" i="11"/>
  <c r="P12" i="12"/>
  <c r="X913" i="11"/>
  <c r="W913" i="11"/>
  <c r="Y913" i="11"/>
  <c r="P1861" i="11"/>
  <c r="V889" i="11"/>
  <c r="V18" i="11"/>
  <c r="P1858" i="11"/>
  <c r="P1867" i="11"/>
  <c r="N1858" i="11"/>
  <c r="S512" i="11"/>
  <c r="N512" i="11"/>
  <c r="N1859" i="11" s="1"/>
  <c r="S1858" i="11"/>
  <c r="L79" i="2"/>
  <c r="F1776" i="11" s="1"/>
  <c r="J79" i="2"/>
  <c r="H1771" i="11" s="1"/>
  <c r="H79" i="2"/>
  <c r="F1774" i="11" s="1"/>
  <c r="G1774" i="11" s="1"/>
  <c r="G79" i="2"/>
  <c r="F1773" i="11" s="1"/>
  <c r="G1773" i="11" s="1"/>
  <c r="F79" i="2"/>
  <c r="F1772" i="11" s="1"/>
  <c r="G1772" i="11" s="1"/>
  <c r="E79" i="2"/>
  <c r="F1775" i="11" s="1"/>
  <c r="G1775" i="11" s="1"/>
  <c r="L78" i="2"/>
  <c r="F1770" i="11" s="1"/>
  <c r="G1770" i="11" s="1"/>
  <c r="J78" i="2"/>
  <c r="H1765" i="11" s="1"/>
  <c r="H78" i="2"/>
  <c r="F1768" i="11" s="1"/>
  <c r="G1768" i="11" s="1"/>
  <c r="G78" i="2"/>
  <c r="F1767" i="11" s="1"/>
  <c r="G1767" i="11" s="1"/>
  <c r="F78" i="2"/>
  <c r="F1766" i="11" s="1"/>
  <c r="G1766" i="11" s="1"/>
  <c r="E78" i="2"/>
  <c r="F1769" i="11" s="1"/>
  <c r="G1769" i="11" s="1"/>
  <c r="L77" i="2"/>
  <c r="F1764" i="11" s="1"/>
  <c r="G1764" i="11" s="1"/>
  <c r="J77" i="2"/>
  <c r="H1759" i="11" s="1"/>
  <c r="H77" i="2"/>
  <c r="F1762" i="11" s="1"/>
  <c r="G1762" i="11" s="1"/>
  <c r="G77" i="2"/>
  <c r="F1761" i="11" s="1"/>
  <c r="G1761" i="11" s="1"/>
  <c r="F77" i="2"/>
  <c r="F1760" i="11" s="1"/>
  <c r="G1760" i="11" s="1"/>
  <c r="E77" i="2"/>
  <c r="F1763" i="11" s="1"/>
  <c r="G1763" i="11" s="1"/>
  <c r="L76" i="2"/>
  <c r="F1758" i="11" s="1"/>
  <c r="G1758" i="11" s="1"/>
  <c r="J76" i="2"/>
  <c r="H1753" i="11" s="1"/>
  <c r="H76" i="2"/>
  <c r="F1756" i="11" s="1"/>
  <c r="G1756" i="11" s="1"/>
  <c r="G76" i="2"/>
  <c r="F1755" i="11" s="1"/>
  <c r="G1755" i="11" s="1"/>
  <c r="F76" i="2"/>
  <c r="F1754" i="11" s="1"/>
  <c r="G1754" i="11" s="1"/>
  <c r="E76" i="2"/>
  <c r="F1757" i="11" s="1"/>
  <c r="G1757" i="11" s="1"/>
  <c r="L75" i="2"/>
  <c r="F1752" i="11" s="1"/>
  <c r="G1752" i="11" s="1"/>
  <c r="J75" i="2"/>
  <c r="H1747" i="11" s="1"/>
  <c r="H75" i="2"/>
  <c r="F1750" i="11" s="1"/>
  <c r="G1750" i="11" s="1"/>
  <c r="G75" i="2"/>
  <c r="F1749" i="11" s="1"/>
  <c r="G1749" i="11" s="1"/>
  <c r="F75" i="2"/>
  <c r="F1748" i="11" s="1"/>
  <c r="G1748" i="11" s="1"/>
  <c r="E75" i="2"/>
  <c r="F1751" i="11" s="1"/>
  <c r="G1751" i="11" s="1"/>
  <c r="L74" i="2"/>
  <c r="F1746" i="11" s="1"/>
  <c r="G1746" i="11" s="1"/>
  <c r="J74" i="2"/>
  <c r="H1741" i="11" s="1"/>
  <c r="H74" i="2"/>
  <c r="F1744" i="11" s="1"/>
  <c r="G1744" i="11" s="1"/>
  <c r="G74" i="2"/>
  <c r="F1743" i="11" s="1"/>
  <c r="G1743" i="11" s="1"/>
  <c r="F74" i="2"/>
  <c r="F1742" i="11" s="1"/>
  <c r="G1742" i="11" s="1"/>
  <c r="E74" i="2"/>
  <c r="F1745" i="11" s="1"/>
  <c r="G1745" i="11" s="1"/>
  <c r="L73" i="2"/>
  <c r="F1740" i="11" s="1"/>
  <c r="G1740" i="11" s="1"/>
  <c r="J73" i="2"/>
  <c r="H1735" i="11" s="1"/>
  <c r="H73" i="2"/>
  <c r="F1738" i="11" s="1"/>
  <c r="G1738" i="11" s="1"/>
  <c r="G73" i="2"/>
  <c r="F1737" i="11" s="1"/>
  <c r="G1737" i="11" s="1"/>
  <c r="F73" i="2"/>
  <c r="F1736" i="11" s="1"/>
  <c r="G1736" i="11" s="1"/>
  <c r="E73" i="2"/>
  <c r="F1739" i="11" s="1"/>
  <c r="G1739" i="11" s="1"/>
  <c r="L72" i="2"/>
  <c r="F1734" i="11" s="1"/>
  <c r="G1734" i="11" s="1"/>
  <c r="J72" i="2"/>
  <c r="H1729" i="11" s="1"/>
  <c r="H72" i="2"/>
  <c r="F1732" i="11" s="1"/>
  <c r="G1732" i="11" s="1"/>
  <c r="G72" i="2"/>
  <c r="F1731" i="11" s="1"/>
  <c r="G1731" i="11" s="1"/>
  <c r="F72" i="2"/>
  <c r="F1730" i="11" s="1"/>
  <c r="G1730" i="11" s="1"/>
  <c r="E72" i="2"/>
  <c r="F1733" i="11" s="1"/>
  <c r="G1733" i="11" s="1"/>
  <c r="L71" i="2"/>
  <c r="F1728" i="11" s="1"/>
  <c r="G1728" i="11" s="1"/>
  <c r="J71" i="2"/>
  <c r="H1723" i="11" s="1"/>
  <c r="H71" i="2"/>
  <c r="F1726" i="11" s="1"/>
  <c r="G1726" i="11" s="1"/>
  <c r="G71" i="2"/>
  <c r="F1725" i="11" s="1"/>
  <c r="G1725" i="11" s="1"/>
  <c r="F71" i="2"/>
  <c r="F1724" i="11" s="1"/>
  <c r="G1724" i="11" s="1"/>
  <c r="G1723" i="11" l="1"/>
  <c r="I1723" i="11" s="1"/>
  <c r="J1723" i="11" s="1"/>
  <c r="F5" i="8"/>
  <c r="P26" i="12"/>
  <c r="G1747" i="11"/>
  <c r="I1747" i="11" s="1"/>
  <c r="J1747" i="11" s="1"/>
  <c r="G1771" i="11"/>
  <c r="I1771" i="11" s="1"/>
  <c r="J1771" i="11" s="1"/>
  <c r="X435" i="11"/>
  <c r="W435" i="11"/>
  <c r="Y435" i="11"/>
  <c r="Y889" i="11"/>
  <c r="X889" i="11"/>
  <c r="W889" i="11"/>
  <c r="X1809" i="11"/>
  <c r="Y1809" i="11"/>
  <c r="W1809" i="11"/>
  <c r="G1735" i="11"/>
  <c r="I1735" i="11" s="1"/>
  <c r="J1735" i="11" s="1"/>
  <c r="G1759" i="11"/>
  <c r="I1759" i="11" s="1"/>
  <c r="J1759" i="11" s="1"/>
  <c r="G1729" i="11"/>
  <c r="I1729" i="11" s="1"/>
  <c r="J1729" i="11" s="1"/>
  <c r="G1741" i="11"/>
  <c r="I1741" i="11" s="1"/>
  <c r="J1741" i="11" s="1"/>
  <c r="G1753" i="11"/>
  <c r="I1753" i="11" s="1"/>
  <c r="J1753" i="11" s="1"/>
  <c r="G1765" i="11"/>
  <c r="I1765" i="11" s="1"/>
  <c r="J1765" i="11" s="1"/>
  <c r="W18" i="11"/>
  <c r="X18" i="11"/>
  <c r="Y18" i="11"/>
  <c r="S1859" i="11"/>
  <c r="J70" i="2"/>
  <c r="H1717" i="11" s="1"/>
  <c r="J80" i="2"/>
  <c r="J81" i="2"/>
  <c r="J82" i="2"/>
  <c r="H3" i="2"/>
  <c r="F1318" i="11" s="1"/>
  <c r="G1318" i="11" s="1"/>
  <c r="N3" i="2"/>
  <c r="S3" i="2"/>
  <c r="H4" i="2"/>
  <c r="F1324" i="11" s="1"/>
  <c r="G1324" i="11" s="1"/>
  <c r="N4" i="2"/>
  <c r="O4" i="2"/>
  <c r="H5" i="2"/>
  <c r="F1330" i="11" s="1"/>
  <c r="G1330" i="11" s="1"/>
  <c r="N5" i="2"/>
  <c r="S5" i="2"/>
  <c r="H6" i="2"/>
  <c r="F1336" i="11" s="1"/>
  <c r="G1336" i="11" s="1"/>
  <c r="N6" i="2"/>
  <c r="S6" i="2"/>
  <c r="E7" i="2"/>
  <c r="F1343" i="11" s="1"/>
  <c r="G1343" i="11" s="1"/>
  <c r="L7" i="2"/>
  <c r="F1344" i="11" s="1"/>
  <c r="G1344" i="11" s="1"/>
  <c r="R7" i="2"/>
  <c r="H7" i="2" s="1"/>
  <c r="F1342" i="11" s="1"/>
  <c r="G1342" i="11" s="1"/>
  <c r="E8" i="2"/>
  <c r="F1349" i="11" s="1"/>
  <c r="G1349" i="11" s="1"/>
  <c r="F8" i="2"/>
  <c r="F1346" i="11" s="1"/>
  <c r="G1346" i="11" s="1"/>
  <c r="G8" i="2"/>
  <c r="F1347" i="11" s="1"/>
  <c r="G1347" i="11" s="1"/>
  <c r="H8" i="2"/>
  <c r="F1348" i="11" s="1"/>
  <c r="G1348" i="11" s="1"/>
  <c r="L8" i="2"/>
  <c r="F1350" i="11" s="1"/>
  <c r="G1350" i="11" s="1"/>
  <c r="E9" i="2"/>
  <c r="F1355" i="11" s="1"/>
  <c r="G1355" i="11" s="1"/>
  <c r="L9" i="2"/>
  <c r="F1356" i="11" s="1"/>
  <c r="G1356" i="11" s="1"/>
  <c r="R9" i="2"/>
  <c r="F9" i="2" s="1"/>
  <c r="F1352" i="11" s="1"/>
  <c r="G1352" i="11" s="1"/>
  <c r="E10" i="2"/>
  <c r="F1361" i="11" s="1"/>
  <c r="G1361" i="11" s="1"/>
  <c r="L10" i="2"/>
  <c r="F1362" i="11" s="1"/>
  <c r="G1362" i="11" s="1"/>
  <c r="R10" i="2"/>
  <c r="E11" i="2"/>
  <c r="F1367" i="11" s="1"/>
  <c r="G1367" i="11" s="1"/>
  <c r="L11" i="2"/>
  <c r="F1368" i="11" s="1"/>
  <c r="G1368" i="11" s="1"/>
  <c r="P11" i="2"/>
  <c r="R11" i="2"/>
  <c r="R23" i="2" s="1"/>
  <c r="T11" i="2"/>
  <c r="T23" i="2" s="1"/>
  <c r="E12" i="2"/>
  <c r="F1373" i="11" s="1"/>
  <c r="G1373" i="11" s="1"/>
  <c r="L12" i="2"/>
  <c r="F1374" i="11" s="1"/>
  <c r="G1374" i="11" s="1"/>
  <c r="N12" i="2"/>
  <c r="P12" i="2"/>
  <c r="H12" i="2" s="1"/>
  <c r="F1372" i="11" s="1"/>
  <c r="G1372" i="11" s="1"/>
  <c r="E13" i="2"/>
  <c r="F1379" i="11" s="1"/>
  <c r="G1379" i="11" s="1"/>
  <c r="L13" i="2"/>
  <c r="F1380" i="11" s="1"/>
  <c r="G1380" i="11" s="1"/>
  <c r="P13" i="2"/>
  <c r="R13" i="2"/>
  <c r="R25" i="2" s="1"/>
  <c r="T13" i="2"/>
  <c r="T25" i="2" s="1"/>
  <c r="E14" i="2"/>
  <c r="F1385" i="11" s="1"/>
  <c r="G1385" i="11" s="1"/>
  <c r="L14" i="2"/>
  <c r="F1386" i="11" s="1"/>
  <c r="G1386" i="11" s="1"/>
  <c r="P14" i="2"/>
  <c r="R14" i="2"/>
  <c r="R26" i="2" s="1"/>
  <c r="T14" i="2"/>
  <c r="T26" i="2" s="1"/>
  <c r="P15" i="2"/>
  <c r="R15" i="2"/>
  <c r="T15" i="2"/>
  <c r="P16" i="2"/>
  <c r="H16" i="2" s="1"/>
  <c r="F1396" i="11" s="1"/>
  <c r="G1396" i="11" s="1"/>
  <c r="R16" i="2"/>
  <c r="T16" i="2"/>
  <c r="P17" i="2"/>
  <c r="R17" i="2"/>
  <c r="H17" i="2" s="1"/>
  <c r="F1402" i="11" s="1"/>
  <c r="G1402" i="11" s="1"/>
  <c r="T17" i="2"/>
  <c r="P18" i="2"/>
  <c r="R18" i="2"/>
  <c r="T18" i="2"/>
  <c r="E19" i="2"/>
  <c r="F1415" i="11" s="1"/>
  <c r="G1415" i="11" s="1"/>
  <c r="L19" i="2"/>
  <c r="F1416" i="11" s="1"/>
  <c r="G1416" i="11" s="1"/>
  <c r="P19" i="2"/>
  <c r="E20" i="2"/>
  <c r="F1421" i="11" s="1"/>
  <c r="G1421" i="11" s="1"/>
  <c r="L20" i="2"/>
  <c r="F1422" i="11" s="1"/>
  <c r="G1422" i="11" s="1"/>
  <c r="P20" i="2"/>
  <c r="R20" i="2"/>
  <c r="E21" i="2"/>
  <c r="F1427" i="11" s="1"/>
  <c r="G1427" i="11" s="1"/>
  <c r="L21" i="2"/>
  <c r="F1428" i="11" s="1"/>
  <c r="G1428" i="11" s="1"/>
  <c r="P21" i="2"/>
  <c r="E22" i="2"/>
  <c r="F1433" i="11" s="1"/>
  <c r="G1433" i="11" s="1"/>
  <c r="L22" i="2"/>
  <c r="F1434" i="11" s="1"/>
  <c r="G1434" i="11" s="1"/>
  <c r="P22" i="2"/>
  <c r="E23" i="2"/>
  <c r="F1439" i="11" s="1"/>
  <c r="G1439" i="11" s="1"/>
  <c r="L23" i="2"/>
  <c r="F1440" i="11" s="1"/>
  <c r="G1440" i="11" s="1"/>
  <c r="E24" i="2"/>
  <c r="F1445" i="11" s="1"/>
  <c r="G1445" i="11" s="1"/>
  <c r="L24" i="2"/>
  <c r="F1446" i="11" s="1"/>
  <c r="G1446" i="11" s="1"/>
  <c r="R24" i="2"/>
  <c r="T24" i="2"/>
  <c r="E25" i="2"/>
  <c r="F1451" i="11" s="1"/>
  <c r="G1451" i="11" s="1"/>
  <c r="L25" i="2"/>
  <c r="F1452" i="11" s="1"/>
  <c r="G1452" i="11" s="1"/>
  <c r="E26" i="2"/>
  <c r="F1457" i="11" s="1"/>
  <c r="G1457" i="11" s="1"/>
  <c r="L26" i="2"/>
  <c r="F1458" i="11" s="1"/>
  <c r="G1458" i="11" s="1"/>
  <c r="N27" i="2"/>
  <c r="O27" i="2"/>
  <c r="E27" i="2" s="1"/>
  <c r="F1463" i="11" s="1"/>
  <c r="G1463" i="11" s="1"/>
  <c r="S27" i="2"/>
  <c r="N28" i="2"/>
  <c r="O28" i="2"/>
  <c r="S28" i="2"/>
  <c r="N29" i="2"/>
  <c r="O29" i="2"/>
  <c r="E29" i="2" s="1"/>
  <c r="F1475" i="11" s="1"/>
  <c r="G1475" i="11" s="1"/>
  <c r="S29" i="2"/>
  <c r="N30" i="2"/>
  <c r="O30" i="2"/>
  <c r="L30" i="2" s="1"/>
  <c r="F1482" i="11" s="1"/>
  <c r="G1482" i="11" s="1"/>
  <c r="S30" i="2"/>
  <c r="N31" i="2"/>
  <c r="O31" i="2"/>
  <c r="L31" i="2" s="1"/>
  <c r="F1488" i="11" s="1"/>
  <c r="G1488" i="11" s="1"/>
  <c r="S31" i="2"/>
  <c r="E32" i="2"/>
  <c r="F1493" i="11" s="1"/>
  <c r="G1493" i="11" s="1"/>
  <c r="L32" i="2"/>
  <c r="F1494" i="11" s="1"/>
  <c r="G1494" i="11" s="1"/>
  <c r="R32" i="2"/>
  <c r="E33" i="2"/>
  <c r="F1499" i="11" s="1"/>
  <c r="G1499" i="11" s="1"/>
  <c r="L33" i="2"/>
  <c r="F1500" i="11" s="1"/>
  <c r="G1500" i="11" s="1"/>
  <c r="R33" i="2"/>
  <c r="H33" i="2" s="1"/>
  <c r="F1498" i="11" s="1"/>
  <c r="G1498" i="11" s="1"/>
  <c r="E34" i="2"/>
  <c r="F1505" i="11" s="1"/>
  <c r="G1505" i="11" s="1"/>
  <c r="L34" i="2"/>
  <c r="F1506" i="11" s="1"/>
  <c r="G1506" i="11" s="1"/>
  <c r="R34" i="2"/>
  <c r="G34" i="2" s="1"/>
  <c r="F1503" i="11" s="1"/>
  <c r="G1503" i="11" s="1"/>
  <c r="F34" i="2"/>
  <c r="F1502" i="11" s="1"/>
  <c r="G1502" i="11" s="1"/>
  <c r="E35" i="2"/>
  <c r="F1511" i="11" s="1"/>
  <c r="G1511" i="11" s="1"/>
  <c r="L35" i="2"/>
  <c r="F1512" i="11" s="1"/>
  <c r="G1512" i="11" s="1"/>
  <c r="R35" i="2"/>
  <c r="G35" i="2" s="1"/>
  <c r="F1509" i="11" s="1"/>
  <c r="G1509" i="11" s="1"/>
  <c r="E36" i="2"/>
  <c r="F1517" i="11" s="1"/>
  <c r="G1517" i="11" s="1"/>
  <c r="L36" i="2"/>
  <c r="F1518" i="11" s="1"/>
  <c r="G1518" i="11" s="1"/>
  <c r="R36" i="2"/>
  <c r="G36" i="2" s="1"/>
  <c r="F1515" i="11" s="1"/>
  <c r="G1515" i="11" s="1"/>
  <c r="F36" i="2"/>
  <c r="F1514" i="11" s="1"/>
  <c r="G1514" i="11" s="1"/>
  <c r="E37" i="2"/>
  <c r="F1523" i="11" s="1"/>
  <c r="G1523" i="11" s="1"/>
  <c r="L37" i="2"/>
  <c r="F1524" i="11" s="1"/>
  <c r="G1524" i="11" s="1"/>
  <c r="N37" i="2"/>
  <c r="R37" i="2"/>
  <c r="F37" i="2" s="1"/>
  <c r="F1520" i="11" s="1"/>
  <c r="G1520" i="11" s="1"/>
  <c r="E38" i="2"/>
  <c r="F1529" i="11" s="1"/>
  <c r="G1529" i="11" s="1"/>
  <c r="L38" i="2"/>
  <c r="F1530" i="11" s="1"/>
  <c r="G1530" i="11" s="1"/>
  <c r="N38" i="2"/>
  <c r="R38" i="2"/>
  <c r="H38" i="2" s="1"/>
  <c r="F1528" i="11" s="1"/>
  <c r="G1528" i="11" s="1"/>
  <c r="E39" i="2"/>
  <c r="F1535" i="11" s="1"/>
  <c r="G1535" i="11" s="1"/>
  <c r="L39" i="2"/>
  <c r="F1536" i="11" s="1"/>
  <c r="G1536" i="11" s="1"/>
  <c r="N39" i="2"/>
  <c r="R39" i="2"/>
  <c r="E40" i="2"/>
  <c r="F1541" i="11" s="1"/>
  <c r="G1541" i="11" s="1"/>
  <c r="L40" i="2"/>
  <c r="F1542" i="11" s="1"/>
  <c r="G1542" i="11" s="1"/>
  <c r="N40" i="2"/>
  <c r="R40" i="2"/>
  <c r="T40" i="2" s="1"/>
  <c r="E41" i="2"/>
  <c r="F1547" i="11" s="1"/>
  <c r="G1547" i="11" s="1"/>
  <c r="L41" i="2"/>
  <c r="F1548" i="11" s="1"/>
  <c r="G1548" i="11" s="1"/>
  <c r="N41" i="2"/>
  <c r="R41" i="2"/>
  <c r="T41" i="2" s="1"/>
  <c r="E42" i="2"/>
  <c r="F1553" i="11" s="1"/>
  <c r="G1553" i="11" s="1"/>
  <c r="L42" i="2"/>
  <c r="F1554" i="11" s="1"/>
  <c r="G1554" i="11" s="1"/>
  <c r="N42" i="2"/>
  <c r="R42" i="2"/>
  <c r="T42" i="2" s="1"/>
  <c r="E43" i="2"/>
  <c r="F1559" i="11" s="1"/>
  <c r="G1559" i="11" s="1"/>
  <c r="L43" i="2"/>
  <c r="F1560" i="11" s="1"/>
  <c r="G1560" i="11" s="1"/>
  <c r="N43" i="2"/>
  <c r="R43" i="2"/>
  <c r="H43" i="2" s="1"/>
  <c r="F1558" i="11" s="1"/>
  <c r="G1558" i="11" s="1"/>
  <c r="N44" i="2"/>
  <c r="O44" i="2"/>
  <c r="L44" i="2" s="1"/>
  <c r="F1566" i="11" s="1"/>
  <c r="G1566" i="11" s="1"/>
  <c r="R44" i="2"/>
  <c r="H44" i="2" s="1"/>
  <c r="F1564" i="11" s="1"/>
  <c r="G1564" i="11" s="1"/>
  <c r="S44" i="2"/>
  <c r="T44" i="2"/>
  <c r="N45" i="2"/>
  <c r="O45" i="2"/>
  <c r="R45" i="2"/>
  <c r="H45" i="2" s="1"/>
  <c r="F1570" i="11" s="1"/>
  <c r="G1570" i="11" s="1"/>
  <c r="S45" i="2"/>
  <c r="T45" i="2"/>
  <c r="N46" i="2"/>
  <c r="O46" i="2"/>
  <c r="Q46" i="2"/>
  <c r="R46" i="2"/>
  <c r="S46" i="2"/>
  <c r="T46" i="2"/>
  <c r="N47" i="2"/>
  <c r="J47" i="2" s="1"/>
  <c r="H1579" i="11" s="1"/>
  <c r="O47" i="2"/>
  <c r="R47" i="2"/>
  <c r="H47" i="2" s="1"/>
  <c r="F1582" i="11" s="1"/>
  <c r="G1582" i="11" s="1"/>
  <c r="S47" i="2"/>
  <c r="T47" i="2"/>
  <c r="N48" i="2"/>
  <c r="O48" i="2"/>
  <c r="L48" i="2" s="1"/>
  <c r="F1590" i="11" s="1"/>
  <c r="G1590" i="11" s="1"/>
  <c r="R48" i="2"/>
  <c r="H48" i="2" s="1"/>
  <c r="F1588" i="11" s="1"/>
  <c r="G1588" i="11" s="1"/>
  <c r="S48" i="2"/>
  <c r="T48" i="2"/>
  <c r="E49" i="2"/>
  <c r="F1595" i="11" s="1"/>
  <c r="G1595" i="11" s="1"/>
  <c r="L49" i="2"/>
  <c r="F1596" i="11" s="1"/>
  <c r="G1596" i="11" s="1"/>
  <c r="P49" i="2"/>
  <c r="E50" i="2"/>
  <c r="F1601" i="11" s="1"/>
  <c r="G1601" i="11" s="1"/>
  <c r="L50" i="2"/>
  <c r="F1602" i="11" s="1"/>
  <c r="G1602" i="11" s="1"/>
  <c r="P50" i="2"/>
  <c r="O51" i="2"/>
  <c r="E51" i="2" s="1"/>
  <c r="F1607" i="11" s="1"/>
  <c r="G1607" i="11" s="1"/>
  <c r="P51" i="2"/>
  <c r="Q51" i="2"/>
  <c r="S51" i="2"/>
  <c r="E52" i="2"/>
  <c r="F1613" i="11" s="1"/>
  <c r="G1613" i="11" s="1"/>
  <c r="L52" i="2"/>
  <c r="F1614" i="11" s="1"/>
  <c r="G1614" i="11" s="1"/>
  <c r="P52" i="2"/>
  <c r="E53" i="2"/>
  <c r="F1619" i="11" s="1"/>
  <c r="G1619" i="11" s="1"/>
  <c r="L53" i="2"/>
  <c r="F1620" i="11" s="1"/>
  <c r="G1620" i="11" s="1"/>
  <c r="P53" i="2"/>
  <c r="E54" i="2"/>
  <c r="F1625" i="11" s="1"/>
  <c r="G1625" i="11" s="1"/>
  <c r="L54" i="2"/>
  <c r="F1626" i="11" s="1"/>
  <c r="G1626" i="11" s="1"/>
  <c r="N54" i="2"/>
  <c r="R54" i="2"/>
  <c r="G54" i="2" s="1"/>
  <c r="F1623" i="11" s="1"/>
  <c r="G1623" i="11" s="1"/>
  <c r="E55" i="2"/>
  <c r="F1631" i="11" s="1"/>
  <c r="G1631" i="11" s="1"/>
  <c r="L55" i="2"/>
  <c r="F1632" i="11" s="1"/>
  <c r="G1632" i="11" s="1"/>
  <c r="N55" i="2"/>
  <c r="R55" i="2"/>
  <c r="T55" i="2" s="1"/>
  <c r="N56" i="2"/>
  <c r="O56" i="2"/>
  <c r="E56" i="2" s="1"/>
  <c r="F1637" i="11" s="1"/>
  <c r="G1637" i="11" s="1"/>
  <c r="Q56" i="2"/>
  <c r="H56" i="2" s="1"/>
  <c r="F1636" i="11" s="1"/>
  <c r="G1636" i="11" s="1"/>
  <c r="R56" i="2"/>
  <c r="T56" i="2" s="1"/>
  <c r="E57" i="2"/>
  <c r="F1643" i="11" s="1"/>
  <c r="G1643" i="11" s="1"/>
  <c r="L57" i="2"/>
  <c r="F1644" i="11" s="1"/>
  <c r="G1644" i="11" s="1"/>
  <c r="N57" i="2"/>
  <c r="R57" i="2"/>
  <c r="E58" i="2"/>
  <c r="F1649" i="11" s="1"/>
  <c r="G1649" i="11" s="1"/>
  <c r="L58" i="2"/>
  <c r="F1650" i="11" s="1"/>
  <c r="G1650" i="11" s="1"/>
  <c r="N58" i="2"/>
  <c r="R58" i="2"/>
  <c r="H58" i="2" s="1"/>
  <c r="F1648" i="11" s="1"/>
  <c r="G1648" i="11" s="1"/>
  <c r="E59" i="2"/>
  <c r="F1655" i="11" s="1"/>
  <c r="G1655" i="11" s="1"/>
  <c r="L59" i="2"/>
  <c r="F1656" i="11" s="1"/>
  <c r="G1656" i="11" s="1"/>
  <c r="P59" i="2"/>
  <c r="E60" i="2"/>
  <c r="F1661" i="11" s="1"/>
  <c r="G1661" i="11" s="1"/>
  <c r="L60" i="2"/>
  <c r="F1662" i="11" s="1"/>
  <c r="G1662" i="11" s="1"/>
  <c r="E61" i="2"/>
  <c r="F1667" i="11" s="1"/>
  <c r="G1667" i="11" s="1"/>
  <c r="L61" i="2"/>
  <c r="F1668" i="11" s="1"/>
  <c r="G1668" i="11" s="1"/>
  <c r="N61" i="2"/>
  <c r="J61" i="2" s="1"/>
  <c r="H1663" i="11" s="1"/>
  <c r="R61" i="2"/>
  <c r="H61" i="2" s="1"/>
  <c r="F1666" i="11" s="1"/>
  <c r="G1666" i="11" s="1"/>
  <c r="T61" i="2"/>
  <c r="E62" i="2"/>
  <c r="F1673" i="11" s="1"/>
  <c r="G1673" i="11" s="1"/>
  <c r="L62" i="2"/>
  <c r="F1674" i="11" s="1"/>
  <c r="G1674" i="11" s="1"/>
  <c r="N62" i="2"/>
  <c r="R62" i="2"/>
  <c r="G62" i="2" s="1"/>
  <c r="F1671" i="11" s="1"/>
  <c r="G1671" i="11" s="1"/>
  <c r="T62" i="2"/>
  <c r="E63" i="2"/>
  <c r="F1679" i="11" s="1"/>
  <c r="G1679" i="11" s="1"/>
  <c r="L63" i="2"/>
  <c r="F1680" i="11" s="1"/>
  <c r="G1680" i="11" s="1"/>
  <c r="N63" i="2"/>
  <c r="R63" i="2"/>
  <c r="F63" i="2" s="1"/>
  <c r="F1676" i="11" s="1"/>
  <c r="G1676" i="11" s="1"/>
  <c r="T63" i="2"/>
  <c r="E64" i="2"/>
  <c r="F1685" i="11" s="1"/>
  <c r="G1685" i="11" s="1"/>
  <c r="F64" i="2"/>
  <c r="F1682" i="11" s="1"/>
  <c r="G1682" i="11" s="1"/>
  <c r="G64" i="2"/>
  <c r="F1683" i="11" s="1"/>
  <c r="G1683" i="11" s="1"/>
  <c r="H64" i="2"/>
  <c r="F1684" i="11" s="1"/>
  <c r="G1684" i="11" s="1"/>
  <c r="L64" i="2"/>
  <c r="F1686" i="11" s="1"/>
  <c r="G1686" i="11" s="1"/>
  <c r="N64" i="2"/>
  <c r="J64" i="2" s="1"/>
  <c r="H1681" i="11" s="1"/>
  <c r="E65" i="2"/>
  <c r="F1691" i="11" s="1"/>
  <c r="G1691" i="11" s="1"/>
  <c r="F65" i="2"/>
  <c r="F1688" i="11" s="1"/>
  <c r="G1688" i="11" s="1"/>
  <c r="G65" i="2"/>
  <c r="F1689" i="11" s="1"/>
  <c r="G1689" i="11" s="1"/>
  <c r="H65" i="2"/>
  <c r="F1690" i="11" s="1"/>
  <c r="G1690" i="11" s="1"/>
  <c r="L65" i="2"/>
  <c r="F1692" i="11" s="1"/>
  <c r="G1692" i="11" s="1"/>
  <c r="N65" i="2"/>
  <c r="J65" i="2" s="1"/>
  <c r="H1687" i="11" s="1"/>
  <c r="E66" i="2"/>
  <c r="F1697" i="11" s="1"/>
  <c r="G1697" i="11" s="1"/>
  <c r="F66" i="2"/>
  <c r="F1694" i="11" s="1"/>
  <c r="G1694" i="11" s="1"/>
  <c r="G66" i="2"/>
  <c r="F1695" i="11" s="1"/>
  <c r="G1695" i="11" s="1"/>
  <c r="H66" i="2"/>
  <c r="F1696" i="11" s="1"/>
  <c r="G1696" i="11" s="1"/>
  <c r="L66" i="2"/>
  <c r="F1698" i="11" s="1"/>
  <c r="G1698" i="11" s="1"/>
  <c r="N66" i="2"/>
  <c r="J66" i="2" s="1"/>
  <c r="H1693" i="11" s="1"/>
  <c r="E67" i="2"/>
  <c r="F1703" i="11" s="1"/>
  <c r="G1703" i="11" s="1"/>
  <c r="F67" i="2"/>
  <c r="F1700" i="11" s="1"/>
  <c r="G1700" i="11" s="1"/>
  <c r="G67" i="2"/>
  <c r="F1701" i="11" s="1"/>
  <c r="G1701" i="11" s="1"/>
  <c r="H67" i="2"/>
  <c r="F1702" i="11" s="1"/>
  <c r="G1702" i="11" s="1"/>
  <c r="L67" i="2"/>
  <c r="F1704" i="11" s="1"/>
  <c r="G1704" i="11" s="1"/>
  <c r="N67" i="2"/>
  <c r="J67" i="2" s="1"/>
  <c r="H1699" i="11" s="1"/>
  <c r="E68" i="2"/>
  <c r="F1709" i="11" s="1"/>
  <c r="G1709" i="11" s="1"/>
  <c r="F68" i="2"/>
  <c r="F1706" i="11" s="1"/>
  <c r="G1706" i="11" s="1"/>
  <c r="G68" i="2"/>
  <c r="F1707" i="11" s="1"/>
  <c r="G1707" i="11" s="1"/>
  <c r="H68" i="2"/>
  <c r="F1708" i="11" s="1"/>
  <c r="G1708" i="11" s="1"/>
  <c r="L68" i="2"/>
  <c r="F1710" i="11" s="1"/>
  <c r="G1710" i="11" s="1"/>
  <c r="N68" i="2"/>
  <c r="J68" i="2" s="1"/>
  <c r="H1705" i="11" s="1"/>
  <c r="E69" i="2"/>
  <c r="F1715" i="11" s="1"/>
  <c r="G1715" i="11" s="1"/>
  <c r="F69" i="2"/>
  <c r="F1712" i="11" s="1"/>
  <c r="G1712" i="11" s="1"/>
  <c r="G69" i="2"/>
  <c r="F1713" i="11" s="1"/>
  <c r="G1713" i="11" s="1"/>
  <c r="H69" i="2"/>
  <c r="F1714" i="11" s="1"/>
  <c r="G1714" i="11" s="1"/>
  <c r="L69" i="2"/>
  <c r="F1716" i="11" s="1"/>
  <c r="G1716" i="11" s="1"/>
  <c r="N69" i="2"/>
  <c r="J69" i="2" s="1"/>
  <c r="H1711" i="11" s="1"/>
  <c r="E70" i="2"/>
  <c r="F1721" i="11" s="1"/>
  <c r="G1721" i="11" s="1"/>
  <c r="F70" i="2"/>
  <c r="F1718" i="11" s="1"/>
  <c r="G1718" i="11" s="1"/>
  <c r="G70" i="2"/>
  <c r="F1719" i="11" s="1"/>
  <c r="G1719" i="11" s="1"/>
  <c r="H70" i="2"/>
  <c r="F1720" i="11" s="1"/>
  <c r="G1720" i="11" s="1"/>
  <c r="L70" i="2"/>
  <c r="F1722" i="11" s="1"/>
  <c r="G1722" i="11" s="1"/>
  <c r="G80" i="2"/>
  <c r="H80" i="2"/>
  <c r="L80" i="2"/>
  <c r="G81" i="2"/>
  <c r="H81" i="2"/>
  <c r="L81" i="2"/>
  <c r="G82" i="2"/>
  <c r="H82" i="2"/>
  <c r="L82" i="2"/>
  <c r="R51" i="2"/>
  <c r="L27" i="2"/>
  <c r="F1464" i="11" s="1"/>
  <c r="G1464" i="11" s="1"/>
  <c r="T39" i="2"/>
  <c r="H36" i="2"/>
  <c r="F1516" i="11" s="1"/>
  <c r="G1516" i="11" s="1"/>
  <c r="H9" i="2"/>
  <c r="F1354" i="11" s="1"/>
  <c r="G1354" i="11" s="1"/>
  <c r="H62" i="2"/>
  <c r="F1672" i="11" s="1"/>
  <c r="G1672" i="11" s="1"/>
  <c r="E31" i="2"/>
  <c r="F1487" i="11" s="1"/>
  <c r="G1487" i="11" s="1"/>
  <c r="R30" i="2"/>
  <c r="H55" i="2"/>
  <c r="F1630" i="11" s="1"/>
  <c r="G1630" i="11" s="1"/>
  <c r="R50" i="2"/>
  <c r="N35" i="2"/>
  <c r="N34" i="2"/>
  <c r="F32" i="2"/>
  <c r="F1490" i="11" s="1"/>
  <c r="G1490" i="11" s="1"/>
  <c r="N36" i="2"/>
  <c r="F4" i="2"/>
  <c r="F1322" i="11" s="1"/>
  <c r="G1322" i="11" s="1"/>
  <c r="O5" i="2"/>
  <c r="F20" i="2"/>
  <c r="F1418" i="11" s="1"/>
  <c r="G1418" i="11" s="1"/>
  <c r="G20" i="2"/>
  <c r="F1419" i="11" s="1"/>
  <c r="G1419" i="11" s="1"/>
  <c r="G1345" i="11" l="1"/>
  <c r="S1765" i="11"/>
  <c r="N1765" i="11"/>
  <c r="S1759" i="11"/>
  <c r="N1759" i="11"/>
  <c r="S1771" i="11"/>
  <c r="N1771" i="11"/>
  <c r="S1753" i="11"/>
  <c r="N1753" i="11"/>
  <c r="S1735" i="11"/>
  <c r="N1735" i="11"/>
  <c r="N1747" i="11"/>
  <c r="S1747" i="11"/>
  <c r="S1741" i="11"/>
  <c r="N1741" i="11"/>
  <c r="S1729" i="11"/>
  <c r="N1729" i="11"/>
  <c r="N52" i="2"/>
  <c r="J57" i="2"/>
  <c r="H1639" i="11" s="1"/>
  <c r="N50" i="2"/>
  <c r="J50" i="2" s="1"/>
  <c r="H1597" i="11" s="1"/>
  <c r="J55" i="2"/>
  <c r="H1627" i="11" s="1"/>
  <c r="N49" i="2"/>
  <c r="J54" i="2"/>
  <c r="H1621" i="11" s="1"/>
  <c r="J44" i="2"/>
  <c r="H1561" i="11" s="1"/>
  <c r="N16" i="2"/>
  <c r="J4" i="2"/>
  <c r="H1321" i="11" s="1"/>
  <c r="Q15" i="12"/>
  <c r="Q14" i="12"/>
  <c r="Q22" i="12"/>
  <c r="Q7" i="12"/>
  <c r="Q16" i="12"/>
  <c r="Q13" i="12"/>
  <c r="Q12" i="12"/>
  <c r="Q20" i="12"/>
  <c r="Q18" i="12"/>
  <c r="Q17" i="12"/>
  <c r="Q23" i="12"/>
  <c r="Q19" i="12"/>
  <c r="Q8" i="12"/>
  <c r="Q10" i="12"/>
  <c r="Q2" i="12"/>
  <c r="Q24" i="12"/>
  <c r="Q11" i="12"/>
  <c r="Q21" i="12"/>
  <c r="Q9" i="12"/>
  <c r="G63" i="2"/>
  <c r="F1677" i="11" s="1"/>
  <c r="G1677" i="11" s="1"/>
  <c r="G33" i="2"/>
  <c r="F1497" i="11" s="1"/>
  <c r="G1497" i="11" s="1"/>
  <c r="G1717" i="11"/>
  <c r="I1717" i="11" s="1"/>
  <c r="J1717" i="11" s="1"/>
  <c r="G1693" i="11"/>
  <c r="I1693" i="11" s="1"/>
  <c r="J1693" i="11" s="1"/>
  <c r="G1513" i="11"/>
  <c r="N17" i="2"/>
  <c r="J5" i="2"/>
  <c r="H1327" i="11" s="1"/>
  <c r="F13" i="8"/>
  <c r="F33" i="2"/>
  <c r="F1496" i="11" s="1"/>
  <c r="G1496" i="11" s="1"/>
  <c r="J62" i="2"/>
  <c r="H1669" i="11" s="1"/>
  <c r="G61" i="2"/>
  <c r="F1665" i="11" s="1"/>
  <c r="G1665" i="11" s="1"/>
  <c r="F61" i="2"/>
  <c r="F1664" i="11" s="1"/>
  <c r="G1664" i="11" s="1"/>
  <c r="R59" i="2"/>
  <c r="R60" i="2" s="1"/>
  <c r="T60" i="2" s="1"/>
  <c r="T58" i="2"/>
  <c r="J58" i="2" s="1"/>
  <c r="H1645" i="11" s="1"/>
  <c r="J56" i="2"/>
  <c r="H1633" i="11" s="1"/>
  <c r="J46" i="2"/>
  <c r="H1573" i="11" s="1"/>
  <c r="J43" i="2"/>
  <c r="H1555" i="11" s="1"/>
  <c r="J42" i="2"/>
  <c r="H1549" i="11" s="1"/>
  <c r="J41" i="2"/>
  <c r="H1543" i="11" s="1"/>
  <c r="J40" i="2"/>
  <c r="H1537" i="11" s="1"/>
  <c r="J39" i="2"/>
  <c r="H1531" i="11" s="1"/>
  <c r="N33" i="2"/>
  <c r="N32" i="2"/>
  <c r="J37" i="2"/>
  <c r="H1519" i="11" s="1"/>
  <c r="R29" i="2"/>
  <c r="N18" i="2"/>
  <c r="J6" i="2"/>
  <c r="H1333" i="11" s="1"/>
  <c r="R27" i="2"/>
  <c r="N1723" i="11"/>
  <c r="S1723" i="11"/>
  <c r="G1705" i="11"/>
  <c r="I1705" i="11" s="1"/>
  <c r="J1705" i="11" s="1"/>
  <c r="G1681" i="11"/>
  <c r="I1681" i="11" s="1"/>
  <c r="J1681" i="11" s="1"/>
  <c r="J63" i="2"/>
  <c r="H1675" i="11" s="1"/>
  <c r="R28" i="2"/>
  <c r="R31" i="2"/>
  <c r="G1711" i="11"/>
  <c r="I1711" i="11" s="1"/>
  <c r="J1711" i="11" s="1"/>
  <c r="G1699" i="11"/>
  <c r="I1699" i="11" s="1"/>
  <c r="J1699" i="11" s="1"/>
  <c r="G1687" i="11"/>
  <c r="I1687" i="11" s="1"/>
  <c r="J1687" i="11" s="1"/>
  <c r="J48" i="2"/>
  <c r="H1585" i="11" s="1"/>
  <c r="J45" i="2"/>
  <c r="H1567" i="11" s="1"/>
  <c r="N11" i="2"/>
  <c r="J12" i="2"/>
  <c r="H1369" i="11" s="1"/>
  <c r="N15" i="2"/>
  <c r="F28" i="2"/>
  <c r="F1466" i="11" s="1"/>
  <c r="G1466" i="11" s="1"/>
  <c r="L28" i="2"/>
  <c r="F1470" i="11" s="1"/>
  <c r="G1470" i="11" s="1"/>
  <c r="G28" i="2"/>
  <c r="F1467" i="11" s="1"/>
  <c r="G1467" i="11" s="1"/>
  <c r="E28" i="2"/>
  <c r="F1469" i="11" s="1"/>
  <c r="G1469" i="11" s="1"/>
  <c r="F58" i="2"/>
  <c r="F1646" i="11" s="1"/>
  <c r="G1646" i="11" s="1"/>
  <c r="G38" i="2"/>
  <c r="F1527" i="11" s="1"/>
  <c r="G1527" i="11" s="1"/>
  <c r="F55" i="2"/>
  <c r="F1628" i="11" s="1"/>
  <c r="G1628" i="11" s="1"/>
  <c r="G55" i="2"/>
  <c r="F1629" i="11" s="1"/>
  <c r="G1629" i="11" s="1"/>
  <c r="H34" i="2"/>
  <c r="F1504" i="11" s="1"/>
  <c r="G1504" i="11" s="1"/>
  <c r="G1501" i="11" s="1"/>
  <c r="E30" i="2"/>
  <c r="F1481" i="11" s="1"/>
  <c r="G1481" i="11" s="1"/>
  <c r="H20" i="2"/>
  <c r="F1420" i="11" s="1"/>
  <c r="G1420" i="11" s="1"/>
  <c r="G1417" i="11" s="1"/>
  <c r="O17" i="2"/>
  <c r="E5" i="2"/>
  <c r="F1331" i="11" s="1"/>
  <c r="G1331" i="11" s="1"/>
  <c r="H35" i="2"/>
  <c r="F1510" i="11" s="1"/>
  <c r="G1510" i="11" s="1"/>
  <c r="H63" i="2"/>
  <c r="F1678" i="11" s="1"/>
  <c r="G1678" i="11" s="1"/>
  <c r="P24" i="2"/>
  <c r="H13" i="2"/>
  <c r="F1378" i="11" s="1"/>
  <c r="G1378" i="11" s="1"/>
  <c r="G4" i="2"/>
  <c r="F1323" i="11" s="1"/>
  <c r="G1323" i="11" s="1"/>
  <c r="E4" i="2"/>
  <c r="F1325" i="11" s="1"/>
  <c r="G1325" i="11" s="1"/>
  <c r="F62" i="2"/>
  <c r="F1670" i="11" s="1"/>
  <c r="G1670" i="11" s="1"/>
  <c r="G1669" i="11" s="1"/>
  <c r="G7" i="2"/>
  <c r="F1341" i="11" s="1"/>
  <c r="G1341" i="11" s="1"/>
  <c r="G44" i="2"/>
  <c r="F1563" i="11" s="1"/>
  <c r="G1563" i="11" s="1"/>
  <c r="G45" i="2"/>
  <c r="F1569" i="11" s="1"/>
  <c r="G1569" i="11" s="1"/>
  <c r="H18" i="2"/>
  <c r="F1408" i="11" s="1"/>
  <c r="G1408" i="11" s="1"/>
  <c r="R19" i="2"/>
  <c r="L51" i="2"/>
  <c r="F1608" i="11" s="1"/>
  <c r="G1608" i="11" s="1"/>
  <c r="F30" i="2"/>
  <c r="F1478" i="11" s="1"/>
  <c r="G1478" i="11" s="1"/>
  <c r="F7" i="2"/>
  <c r="F1340" i="11" s="1"/>
  <c r="G1340" i="11" s="1"/>
  <c r="E48" i="2"/>
  <c r="F1589" i="11" s="1"/>
  <c r="G1589" i="11" s="1"/>
  <c r="E44" i="2"/>
  <c r="F1565" i="11" s="1"/>
  <c r="G1565" i="11" s="1"/>
  <c r="H14" i="2"/>
  <c r="F1384" i="11" s="1"/>
  <c r="G1384" i="11" s="1"/>
  <c r="G9" i="2"/>
  <c r="F1353" i="11" s="1"/>
  <c r="G1353" i="11" s="1"/>
  <c r="G1351" i="11" s="1"/>
  <c r="G27" i="2"/>
  <c r="F1461" i="11" s="1"/>
  <c r="G1461" i="11" s="1"/>
  <c r="T30" i="2"/>
  <c r="T35" i="2" s="1"/>
  <c r="J35" i="2" s="1"/>
  <c r="H1507" i="11" s="1"/>
  <c r="P26" i="2"/>
  <c r="G26" i="2" s="1"/>
  <c r="F1455" i="11" s="1"/>
  <c r="G1455" i="11" s="1"/>
  <c r="L56" i="2"/>
  <c r="F1638" i="11" s="1"/>
  <c r="G1638" i="11" s="1"/>
  <c r="G13" i="2"/>
  <c r="F1377" i="11" s="1"/>
  <c r="G1377" i="11" s="1"/>
  <c r="F44" i="2"/>
  <c r="F1562" i="11" s="1"/>
  <c r="G1562" i="11" s="1"/>
  <c r="G14" i="2"/>
  <c r="F1383" i="11" s="1"/>
  <c r="G1383" i="11" s="1"/>
  <c r="F12" i="2"/>
  <c r="F1370" i="11" s="1"/>
  <c r="G1370" i="11" s="1"/>
  <c r="H30" i="2"/>
  <c r="F1480" i="11" s="1"/>
  <c r="G1480" i="11" s="1"/>
  <c r="F14" i="2"/>
  <c r="F1382" i="11" s="1"/>
  <c r="G1382" i="11" s="1"/>
  <c r="F56" i="2"/>
  <c r="F1634" i="11" s="1"/>
  <c r="G1634" i="11" s="1"/>
  <c r="G56" i="2"/>
  <c r="F1635" i="11" s="1"/>
  <c r="G1635" i="11" s="1"/>
  <c r="H50" i="2"/>
  <c r="F1600" i="11" s="1"/>
  <c r="G1600" i="11" s="1"/>
  <c r="L29" i="2"/>
  <c r="F1476" i="11" s="1"/>
  <c r="G1476" i="11" s="1"/>
  <c r="H11" i="2"/>
  <c r="F1366" i="11" s="1"/>
  <c r="G1366" i="11" s="1"/>
  <c r="G12" i="2"/>
  <c r="F1371" i="11" s="1"/>
  <c r="G1371" i="11" s="1"/>
  <c r="R21" i="2"/>
  <c r="H21" i="2" s="1"/>
  <c r="F1426" i="11" s="1"/>
  <c r="G1426" i="11" s="1"/>
  <c r="F35" i="2"/>
  <c r="F1508" i="11" s="1"/>
  <c r="G1508" i="11" s="1"/>
  <c r="G1507" i="11" s="1"/>
  <c r="N24" i="2"/>
  <c r="J24" i="2" s="1"/>
  <c r="H1441" i="11" s="1"/>
  <c r="L17" i="2"/>
  <c r="F1404" i="11" s="1"/>
  <c r="G1404" i="11" s="1"/>
  <c r="G17" i="2"/>
  <c r="F1401" i="11" s="1"/>
  <c r="G1401" i="11" s="1"/>
  <c r="E17" i="2"/>
  <c r="F1403" i="11" s="1"/>
  <c r="G1403" i="11" s="1"/>
  <c r="F47" i="2"/>
  <c r="F1580" i="11" s="1"/>
  <c r="G1580" i="11" s="1"/>
  <c r="F5" i="2"/>
  <c r="F1328" i="11" s="1"/>
  <c r="G1328" i="11" s="1"/>
  <c r="L5" i="2"/>
  <c r="F1332" i="11" s="1"/>
  <c r="G1332" i="11" s="1"/>
  <c r="G30" i="2"/>
  <c r="F1479" i="11" s="1"/>
  <c r="G1479" i="11" s="1"/>
  <c r="P60" i="2"/>
  <c r="G5" i="2"/>
  <c r="F1329" i="11" s="1"/>
  <c r="G1329" i="11" s="1"/>
  <c r="F59" i="2"/>
  <c r="F1652" i="11" s="1"/>
  <c r="G1652" i="11" s="1"/>
  <c r="G21" i="2"/>
  <c r="F1425" i="11" s="1"/>
  <c r="G1425" i="11" s="1"/>
  <c r="F21" i="2"/>
  <c r="F1424" i="11" s="1"/>
  <c r="G1424" i="11" s="1"/>
  <c r="N51" i="2"/>
  <c r="J51" i="2" s="1"/>
  <c r="H1603" i="11" s="1"/>
  <c r="F54" i="2"/>
  <c r="F1622" i="11" s="1"/>
  <c r="G1622" i="11" s="1"/>
  <c r="T54" i="2"/>
  <c r="H54" i="2"/>
  <c r="F1624" i="11" s="1"/>
  <c r="G1624" i="11" s="1"/>
  <c r="R49" i="2"/>
  <c r="H49" i="2" s="1"/>
  <c r="F1594" i="11" s="1"/>
  <c r="G1594" i="11" s="1"/>
  <c r="L4" i="2"/>
  <c r="F1326" i="11" s="1"/>
  <c r="G1326" i="11" s="1"/>
  <c r="O3" i="2"/>
  <c r="J3" i="2" s="1"/>
  <c r="H1315" i="11" s="1"/>
  <c r="O6" i="2"/>
  <c r="F17" i="2"/>
  <c r="F1400" i="11" s="1"/>
  <c r="G1400" i="11" s="1"/>
  <c r="G11" i="2"/>
  <c r="F1365" i="11" s="1"/>
  <c r="G1365" i="11" s="1"/>
  <c r="F11" i="2"/>
  <c r="F1364" i="11" s="1"/>
  <c r="G1364" i="11" s="1"/>
  <c r="F41" i="2"/>
  <c r="F1544" i="11" s="1"/>
  <c r="G1544" i="11" s="1"/>
  <c r="G41" i="2"/>
  <c r="F1545" i="11" s="1"/>
  <c r="G1545" i="11" s="1"/>
  <c r="H41" i="2"/>
  <c r="F1546" i="11" s="1"/>
  <c r="G1546" i="11" s="1"/>
  <c r="G19" i="2"/>
  <c r="F1413" i="11" s="1"/>
  <c r="G1413" i="11" s="1"/>
  <c r="G58" i="2"/>
  <c r="F1647" i="11" s="1"/>
  <c r="G1647" i="11" s="1"/>
  <c r="R53" i="2"/>
  <c r="G53" i="2" s="1"/>
  <c r="F1617" i="11" s="1"/>
  <c r="G1617" i="11" s="1"/>
  <c r="H15" i="2"/>
  <c r="F1390" i="11" s="1"/>
  <c r="G1390" i="11" s="1"/>
  <c r="F13" i="2"/>
  <c r="F1376" i="11" s="1"/>
  <c r="G1376" i="11" s="1"/>
  <c r="P25" i="2"/>
  <c r="H25" i="2" s="1"/>
  <c r="F1450" i="11" s="1"/>
  <c r="G1450" i="11" s="1"/>
  <c r="L46" i="2"/>
  <c r="F1578" i="11" s="1"/>
  <c r="G1578" i="11" s="1"/>
  <c r="E46" i="2"/>
  <c r="F1577" i="11" s="1"/>
  <c r="G1577" i="11" s="1"/>
  <c r="T37" i="2"/>
  <c r="G37" i="2"/>
  <c r="F1521" i="11" s="1"/>
  <c r="G1521" i="11" s="1"/>
  <c r="H37" i="2"/>
  <c r="F1522" i="11" s="1"/>
  <c r="G1522" i="11" s="1"/>
  <c r="H51" i="2"/>
  <c r="F1606" i="11" s="1"/>
  <c r="G1606" i="11" s="1"/>
  <c r="G51" i="2"/>
  <c r="F1605" i="11" s="1"/>
  <c r="G1605" i="11" s="1"/>
  <c r="F46" i="2"/>
  <c r="F1574" i="11" s="1"/>
  <c r="G1574" i="11" s="1"/>
  <c r="H46" i="2"/>
  <c r="F1576" i="11" s="1"/>
  <c r="G1576" i="11" s="1"/>
  <c r="F31" i="2"/>
  <c r="F1484" i="11" s="1"/>
  <c r="G1484" i="11" s="1"/>
  <c r="N59" i="2"/>
  <c r="N53" i="2"/>
  <c r="F57" i="2"/>
  <c r="F1640" i="11" s="1"/>
  <c r="G1640" i="11" s="1"/>
  <c r="H57" i="2"/>
  <c r="F1642" i="11" s="1"/>
  <c r="G1642" i="11" s="1"/>
  <c r="G57" i="2"/>
  <c r="F1641" i="11" s="1"/>
  <c r="G1641" i="11" s="1"/>
  <c r="T57" i="2"/>
  <c r="L47" i="2"/>
  <c r="F1584" i="11" s="1"/>
  <c r="G1584" i="11" s="1"/>
  <c r="G47" i="2"/>
  <c r="F1581" i="11" s="1"/>
  <c r="G1581" i="11" s="1"/>
  <c r="E47" i="2"/>
  <c r="F1583" i="11" s="1"/>
  <c r="G1583" i="11" s="1"/>
  <c r="L45" i="2"/>
  <c r="F1572" i="11" s="1"/>
  <c r="G1572" i="11" s="1"/>
  <c r="F45" i="2"/>
  <c r="F1568" i="11" s="1"/>
  <c r="G1568" i="11" s="1"/>
  <c r="E45" i="2"/>
  <c r="F1571" i="11" s="1"/>
  <c r="G1571" i="11" s="1"/>
  <c r="F19" i="2"/>
  <c r="F1412" i="11" s="1"/>
  <c r="G1412" i="11" s="1"/>
  <c r="H19" i="2"/>
  <c r="F1414" i="11" s="1"/>
  <c r="G1414" i="11" s="1"/>
  <c r="F50" i="2"/>
  <c r="F1598" i="11" s="1"/>
  <c r="G1598" i="11" s="1"/>
  <c r="G29" i="2"/>
  <c r="F1473" i="11" s="1"/>
  <c r="G1473" i="11" s="1"/>
  <c r="F51" i="2"/>
  <c r="F1604" i="11" s="1"/>
  <c r="G1604" i="11" s="1"/>
  <c r="G48" i="2"/>
  <c r="F1587" i="11" s="1"/>
  <c r="G1587" i="11" s="1"/>
  <c r="F48" i="2"/>
  <c r="F1586" i="11" s="1"/>
  <c r="G1586" i="11" s="1"/>
  <c r="H42" i="2"/>
  <c r="F1552" i="11" s="1"/>
  <c r="G1552" i="11" s="1"/>
  <c r="G42" i="2"/>
  <c r="F1551" i="11" s="1"/>
  <c r="G1551" i="11" s="1"/>
  <c r="F42" i="2"/>
  <c r="F1550" i="11" s="1"/>
  <c r="G1550" i="11" s="1"/>
  <c r="G46" i="2"/>
  <c r="F1575" i="11" s="1"/>
  <c r="G1575" i="11" s="1"/>
  <c r="G50" i="2"/>
  <c r="F1599" i="11" s="1"/>
  <c r="G1599" i="11" s="1"/>
  <c r="N23" i="2"/>
  <c r="R52" i="2"/>
  <c r="F24" i="2"/>
  <c r="F1442" i="11" s="1"/>
  <c r="G1442" i="11" s="1"/>
  <c r="H24" i="2"/>
  <c r="F1444" i="11" s="1"/>
  <c r="G1444" i="11" s="1"/>
  <c r="G24" i="2"/>
  <c r="F1443" i="11" s="1"/>
  <c r="G1443" i="11" s="1"/>
  <c r="G32" i="2"/>
  <c r="F1491" i="11" s="1"/>
  <c r="G1491" i="11" s="1"/>
  <c r="H32" i="2"/>
  <c r="F1492" i="11" s="1"/>
  <c r="G1492" i="11" s="1"/>
  <c r="H26" i="2"/>
  <c r="F1456" i="11" s="1"/>
  <c r="G1456" i="11" s="1"/>
  <c r="O15" i="2"/>
  <c r="F43" i="2"/>
  <c r="F1556" i="11" s="1"/>
  <c r="G1556" i="11" s="1"/>
  <c r="T43" i="2"/>
  <c r="G43" i="2"/>
  <c r="F1557" i="11" s="1"/>
  <c r="G1557" i="11" s="1"/>
  <c r="G40" i="2"/>
  <c r="F1539" i="11" s="1"/>
  <c r="G1539" i="11" s="1"/>
  <c r="F40" i="2"/>
  <c r="F1538" i="11" s="1"/>
  <c r="G1538" i="11" s="1"/>
  <c r="H40" i="2"/>
  <c r="F1540" i="11" s="1"/>
  <c r="G1540" i="11" s="1"/>
  <c r="N13" i="2"/>
  <c r="J13" i="2" s="1"/>
  <c r="H1375" i="11" s="1"/>
  <c r="N14" i="2"/>
  <c r="J14" i="2" s="1"/>
  <c r="H1381" i="11" s="1"/>
  <c r="N8" i="2"/>
  <c r="J8" i="2" s="1"/>
  <c r="H1345" i="11" s="1"/>
  <c r="H39" i="2"/>
  <c r="F1534" i="11" s="1"/>
  <c r="G1534" i="11" s="1"/>
  <c r="G39" i="2"/>
  <c r="F1533" i="11" s="1"/>
  <c r="G1533" i="11" s="1"/>
  <c r="F39" i="2"/>
  <c r="F1532" i="11" s="1"/>
  <c r="G1532" i="11" s="1"/>
  <c r="F10" i="2"/>
  <c r="F1358" i="11" s="1"/>
  <c r="G1358" i="11" s="1"/>
  <c r="G10" i="2"/>
  <c r="F1359" i="11" s="1"/>
  <c r="G1359" i="11" s="1"/>
  <c r="R22" i="2"/>
  <c r="H10" i="2"/>
  <c r="F1360" i="11" s="1"/>
  <c r="G1360" i="11" s="1"/>
  <c r="F38" i="2"/>
  <c r="F1526" i="11" s="1"/>
  <c r="G1526" i="11" s="1"/>
  <c r="T38" i="2"/>
  <c r="J38" i="2" s="1"/>
  <c r="H1525" i="11" s="1"/>
  <c r="P23" i="2"/>
  <c r="O16" i="2"/>
  <c r="G1663" i="11" l="1"/>
  <c r="I1663" i="11" s="1"/>
  <c r="J1663" i="11" s="1"/>
  <c r="N1663" i="11" s="1"/>
  <c r="I1345" i="11"/>
  <c r="G1585" i="11"/>
  <c r="I1585" i="11" s="1"/>
  <c r="J1585" i="11" s="1"/>
  <c r="G1399" i="11"/>
  <c r="G1549" i="11"/>
  <c r="I1549" i="11" s="1"/>
  <c r="J1549" i="11" s="1"/>
  <c r="G1423" i="11"/>
  <c r="G1489" i="11"/>
  <c r="G1627" i="11"/>
  <c r="I1627" i="11" s="1"/>
  <c r="J1627" i="11" s="1"/>
  <c r="G1675" i="11"/>
  <c r="I1675" i="11" s="1"/>
  <c r="J1675" i="11" s="1"/>
  <c r="G1531" i="11"/>
  <c r="I1531" i="11" s="1"/>
  <c r="J1531" i="11" s="1"/>
  <c r="G1519" i="11"/>
  <c r="I1519" i="11" s="1"/>
  <c r="J1519" i="11" s="1"/>
  <c r="G1321" i="11"/>
  <c r="I1321" i="11" s="1"/>
  <c r="J1321" i="11" s="1"/>
  <c r="N1699" i="11"/>
  <c r="S1699" i="11"/>
  <c r="S1711" i="11"/>
  <c r="N1711" i="11"/>
  <c r="S1687" i="11"/>
  <c r="N1687" i="11"/>
  <c r="N1705" i="11"/>
  <c r="S1705" i="11"/>
  <c r="S1663" i="11"/>
  <c r="G1573" i="11"/>
  <c r="I1573" i="11" s="1"/>
  <c r="J1573" i="11" s="1"/>
  <c r="J15" i="2"/>
  <c r="H1387" i="11" s="1"/>
  <c r="N1693" i="11"/>
  <c r="S1693" i="11"/>
  <c r="T29" i="2"/>
  <c r="T34" i="2" s="1"/>
  <c r="J34" i="2" s="1"/>
  <c r="H1501" i="11" s="1"/>
  <c r="I1501" i="11" s="1"/>
  <c r="H29" i="2"/>
  <c r="F1474" i="11" s="1"/>
  <c r="G1474" i="11" s="1"/>
  <c r="G6" i="8"/>
  <c r="G8" i="8"/>
  <c r="G10" i="8"/>
  <c r="G9" i="8"/>
  <c r="G7" i="8"/>
  <c r="G11" i="8"/>
  <c r="S1681" i="11"/>
  <c r="N1681" i="11"/>
  <c r="J23" i="2"/>
  <c r="H1435" i="11" s="1"/>
  <c r="G1567" i="11"/>
  <c r="I1567" i="11" s="1"/>
  <c r="G1639" i="11"/>
  <c r="I1639" i="11" s="1"/>
  <c r="J1639" i="11" s="1"/>
  <c r="T31" i="2"/>
  <c r="T36" i="2" s="1"/>
  <c r="J36" i="2" s="1"/>
  <c r="H1513" i="11" s="1"/>
  <c r="I1513" i="11" s="1"/>
  <c r="H27" i="2"/>
  <c r="F1462" i="11" s="1"/>
  <c r="G1462" i="11" s="1"/>
  <c r="J52" i="2"/>
  <c r="H1609" i="11" s="1"/>
  <c r="G1603" i="11"/>
  <c r="I1603" i="11" s="1"/>
  <c r="J1603" i="11" s="1"/>
  <c r="J53" i="2"/>
  <c r="H1615" i="11" s="1"/>
  <c r="H31" i="2"/>
  <c r="F1486" i="11" s="1"/>
  <c r="G1486" i="11" s="1"/>
  <c r="G1375" i="11"/>
  <c r="I1375" i="11" s="1"/>
  <c r="J1375" i="11" s="1"/>
  <c r="G1363" i="11"/>
  <c r="T59" i="2"/>
  <c r="H59" i="2"/>
  <c r="F1654" i="11" s="1"/>
  <c r="G1654" i="11" s="1"/>
  <c r="G31" i="2"/>
  <c r="F1485" i="11" s="1"/>
  <c r="G1485" i="11" s="1"/>
  <c r="G1633" i="11"/>
  <c r="I1633" i="11" s="1"/>
  <c r="J1633" i="11" s="1"/>
  <c r="T27" i="2"/>
  <c r="T32" i="2" s="1"/>
  <c r="G1645" i="11"/>
  <c r="I1645" i="11" s="1"/>
  <c r="J1645" i="11" s="1"/>
  <c r="N7" i="2"/>
  <c r="J11" i="2"/>
  <c r="H1363" i="11" s="1"/>
  <c r="J32" i="2"/>
  <c r="H1489" i="11" s="1"/>
  <c r="J17" i="2"/>
  <c r="H1399" i="11" s="1"/>
  <c r="G42" i="12"/>
  <c r="N64" i="12"/>
  <c r="J54" i="12"/>
  <c r="O58" i="12"/>
  <c r="H58" i="12"/>
  <c r="M62" i="12"/>
  <c r="O34" i="12"/>
  <c r="L64" i="12"/>
  <c r="K42" i="12"/>
  <c r="J56" i="12"/>
  <c r="G62" i="12"/>
  <c r="I44" i="12"/>
  <c r="L60" i="12"/>
  <c r="M56" i="12"/>
  <c r="L32" i="12"/>
  <c r="F56" i="12"/>
  <c r="M60" i="12"/>
  <c r="E44" i="12"/>
  <c r="G60" i="12"/>
  <c r="I54" i="12"/>
  <c r="G32" i="12"/>
  <c r="D34" i="12"/>
  <c r="L44" i="12"/>
  <c r="M54" i="12"/>
  <c r="H32" i="12"/>
  <c r="N54" i="12"/>
  <c r="H60" i="12"/>
  <c r="M58" i="12"/>
  <c r="E52" i="12"/>
  <c r="G64" i="12"/>
  <c r="K32" i="12"/>
  <c r="N32" i="12"/>
  <c r="L38" i="12"/>
  <c r="K44" i="12"/>
  <c r="I52" i="12"/>
  <c r="N38" i="12"/>
  <c r="I36" i="12"/>
  <c r="G36" i="12"/>
  <c r="M36" i="12"/>
  <c r="Q3" i="12"/>
  <c r="J62" i="12"/>
  <c r="F52" i="12"/>
  <c r="E56" i="12"/>
  <c r="E34" i="12"/>
  <c r="K54" i="12"/>
  <c r="H54" i="12"/>
  <c r="F32" i="12"/>
  <c r="N42" i="12"/>
  <c r="K58" i="12"/>
  <c r="D38" i="12"/>
  <c r="D42" i="12"/>
  <c r="M42" i="12"/>
  <c r="J64" i="12"/>
  <c r="F54" i="12"/>
  <c r="I58" i="12"/>
  <c r="O56" i="12"/>
  <c r="I60" i="12"/>
  <c r="J34" i="12"/>
  <c r="F64" i="12"/>
  <c r="N52" i="12"/>
  <c r="D58" i="12"/>
  <c r="M34" i="12"/>
  <c r="I56" i="12"/>
  <c r="L48" i="12"/>
  <c r="E58" i="12"/>
  <c r="I62" i="12"/>
  <c r="M48" i="12"/>
  <c r="N62" i="12"/>
  <c r="J52" i="12"/>
  <c r="K56" i="12"/>
  <c r="I34" i="12"/>
  <c r="D56" i="12"/>
  <c r="D48" i="12"/>
  <c r="L56" i="12"/>
  <c r="E60" i="12"/>
  <c r="H62" i="12"/>
  <c r="K38" i="12"/>
  <c r="G44" i="12"/>
  <c r="E38" i="12"/>
  <c r="L42" i="12"/>
  <c r="I38" i="12"/>
  <c r="G38" i="12"/>
  <c r="N36" i="12"/>
  <c r="L36" i="12"/>
  <c r="K36" i="12"/>
  <c r="F60" i="12"/>
  <c r="H52" i="12"/>
  <c r="O64" i="12"/>
  <c r="H64" i="12"/>
  <c r="D44" i="12"/>
  <c r="I48" i="12"/>
  <c r="L58" i="12"/>
  <c r="G34" i="12"/>
  <c r="H38" i="12"/>
  <c r="F62" i="12"/>
  <c r="N48" i="12"/>
  <c r="L54" i="12"/>
  <c r="M32" i="12"/>
  <c r="E54" i="12"/>
  <c r="O52" i="12"/>
  <c r="M64" i="12"/>
  <c r="N60" i="12"/>
  <c r="J48" i="12"/>
  <c r="G54" i="12"/>
  <c r="I32" i="12"/>
  <c r="L52" i="12"/>
  <c r="O44" i="12"/>
  <c r="D52" i="12"/>
  <c r="F42" i="12"/>
  <c r="M44" i="12"/>
  <c r="K64" i="12"/>
  <c r="J32" i="12"/>
  <c r="E42" i="12"/>
  <c r="J60" i="12"/>
  <c r="M52" i="12"/>
  <c r="G52" i="12"/>
  <c r="D60" i="12"/>
  <c r="N34" i="12"/>
  <c r="O36" i="12"/>
  <c r="D36" i="12"/>
  <c r="F36" i="12"/>
  <c r="G58" i="12"/>
  <c r="H56" i="12"/>
  <c r="O54" i="12"/>
  <c r="O42" i="12"/>
  <c r="E32" i="12"/>
  <c r="D54" i="12"/>
  <c r="H42" i="12"/>
  <c r="I42" i="12"/>
  <c r="H36" i="12"/>
  <c r="L62" i="12"/>
  <c r="F34" i="12"/>
  <c r="O62" i="12"/>
  <c r="J58" i="12"/>
  <c r="O48" i="12"/>
  <c r="F38" i="12"/>
  <c r="K62" i="12"/>
  <c r="H48" i="12"/>
  <c r="O32" i="12"/>
  <c r="G56" i="12"/>
  <c r="E62" i="12"/>
  <c r="K52" i="12"/>
  <c r="J42" i="12"/>
  <c r="K48" i="12"/>
  <c r="E48" i="12"/>
  <c r="N44" i="12"/>
  <c r="O60" i="12"/>
  <c r="F58" i="12"/>
  <c r="K60" i="12"/>
  <c r="H44" i="12"/>
  <c r="J38" i="12"/>
  <c r="D32" i="12"/>
  <c r="G48" i="12"/>
  <c r="J36" i="12"/>
  <c r="N56" i="12"/>
  <c r="H34" i="12"/>
  <c r="I64" i="12"/>
  <c r="D64" i="12"/>
  <c r="F44" i="12"/>
  <c r="F48" i="12"/>
  <c r="J44" i="12"/>
  <c r="L34" i="12"/>
  <c r="N58" i="12"/>
  <c r="D62" i="12"/>
  <c r="O38" i="12"/>
  <c r="E64" i="12"/>
  <c r="K34" i="12"/>
  <c r="M38" i="12"/>
  <c r="E36" i="12"/>
  <c r="E46" i="12"/>
  <c r="D46" i="12"/>
  <c r="I46" i="12"/>
  <c r="K30" i="12"/>
  <c r="D30" i="12"/>
  <c r="I30" i="12"/>
  <c r="N40" i="12"/>
  <c r="O40" i="12"/>
  <c r="G40" i="12"/>
  <c r="L50" i="12"/>
  <c r="E50" i="12"/>
  <c r="K50" i="12"/>
  <c r="M40" i="12"/>
  <c r="K40" i="12"/>
  <c r="H40" i="12"/>
  <c r="D50" i="12"/>
  <c r="J50" i="12"/>
  <c r="I40" i="12"/>
  <c r="E40" i="12"/>
  <c r="L40" i="12"/>
  <c r="M50" i="12"/>
  <c r="K46" i="12"/>
  <c r="J46" i="12"/>
  <c r="L46" i="12"/>
  <c r="H30" i="12"/>
  <c r="E30" i="12"/>
  <c r="J30" i="12"/>
  <c r="F40" i="12"/>
  <c r="D40" i="12"/>
  <c r="J40" i="12"/>
  <c r="N50" i="12"/>
  <c r="I50" i="12"/>
  <c r="G50" i="12"/>
  <c r="O46" i="12"/>
  <c r="F46" i="12"/>
  <c r="M46" i="12"/>
  <c r="F30" i="12"/>
  <c r="M30" i="12"/>
  <c r="L30" i="12"/>
  <c r="H50" i="12"/>
  <c r="H46" i="12"/>
  <c r="N46" i="12"/>
  <c r="G46" i="12"/>
  <c r="O30" i="12"/>
  <c r="G30" i="12"/>
  <c r="N30" i="12"/>
  <c r="O50" i="12"/>
  <c r="F50" i="12"/>
  <c r="J16" i="2"/>
  <c r="H1393" i="11" s="1"/>
  <c r="G1579" i="11"/>
  <c r="I1579" i="11" s="1"/>
  <c r="J1579" i="11" s="1"/>
  <c r="G1477" i="11"/>
  <c r="J1567" i="11"/>
  <c r="G1597" i="11"/>
  <c r="I1597" i="11" s="1"/>
  <c r="J1597" i="11" s="1"/>
  <c r="G1543" i="11"/>
  <c r="I1543" i="11" s="1"/>
  <c r="J1543" i="11" s="1"/>
  <c r="I1507" i="11"/>
  <c r="J1507" i="11" s="1"/>
  <c r="G1369" i="11"/>
  <c r="I1369" i="11" s="1"/>
  <c r="J1369" i="11" s="1"/>
  <c r="N1717" i="11"/>
  <c r="S1717" i="11"/>
  <c r="F29" i="2"/>
  <c r="F1472" i="11" s="1"/>
  <c r="G1472" i="11" s="1"/>
  <c r="G1495" i="11"/>
  <c r="Q26" i="12"/>
  <c r="J49" i="2"/>
  <c r="H1591" i="11" s="1"/>
  <c r="G1525" i="11"/>
  <c r="I1525" i="11" s="1"/>
  <c r="J1525" i="11" s="1"/>
  <c r="G1357" i="11"/>
  <c r="J1345" i="11"/>
  <c r="G1537" i="11"/>
  <c r="I1537" i="11" s="1"/>
  <c r="J1537" i="11" s="1"/>
  <c r="G1555" i="11"/>
  <c r="I1555" i="11" s="1"/>
  <c r="J1555" i="11" s="1"/>
  <c r="G1441" i="11"/>
  <c r="I1441" i="11" s="1"/>
  <c r="J1441" i="11" s="1"/>
  <c r="G25" i="2"/>
  <c r="F1449" i="11" s="1"/>
  <c r="G1449" i="11" s="1"/>
  <c r="G1411" i="11"/>
  <c r="J59" i="2"/>
  <c r="H1651" i="11" s="1"/>
  <c r="F27" i="2"/>
  <c r="F1460" i="11" s="1"/>
  <c r="G1460" i="11" s="1"/>
  <c r="G1621" i="11"/>
  <c r="I1621" i="11" s="1"/>
  <c r="J1621" i="11" s="1"/>
  <c r="G59" i="2"/>
  <c r="F1653" i="11" s="1"/>
  <c r="G1653" i="11" s="1"/>
  <c r="G1327" i="11"/>
  <c r="I1327" i="11" s="1"/>
  <c r="J1327" i="11" s="1"/>
  <c r="G1381" i="11"/>
  <c r="I1381" i="11" s="1"/>
  <c r="J1381" i="11" s="1"/>
  <c r="G1561" i="11"/>
  <c r="I1561" i="11" s="1"/>
  <c r="J1561" i="11" s="1"/>
  <c r="G1339" i="11"/>
  <c r="I1669" i="11"/>
  <c r="J1669" i="11" s="1"/>
  <c r="J30" i="2"/>
  <c r="H1477" i="11" s="1"/>
  <c r="T28" i="2"/>
  <c r="H28" i="2"/>
  <c r="F1468" i="11" s="1"/>
  <c r="G1468" i="11" s="1"/>
  <c r="G1465" i="11" s="1"/>
  <c r="J29" i="2"/>
  <c r="H1471" i="11" s="1"/>
  <c r="G5" i="8"/>
  <c r="L6" i="2"/>
  <c r="F1338" i="11" s="1"/>
  <c r="G1338" i="11" s="1"/>
  <c r="E6" i="2"/>
  <c r="F1337" i="11" s="1"/>
  <c r="G1337" i="11" s="1"/>
  <c r="E3" i="2"/>
  <c r="F1319" i="11" s="1"/>
  <c r="G1319" i="11" s="1"/>
  <c r="F26" i="2"/>
  <c r="F1454" i="11" s="1"/>
  <c r="G1454" i="11" s="1"/>
  <c r="G1453" i="11" s="1"/>
  <c r="F25" i="2"/>
  <c r="F1448" i="11" s="1"/>
  <c r="G1448" i="11" s="1"/>
  <c r="H53" i="2"/>
  <c r="F1618" i="11" s="1"/>
  <c r="G1618" i="11" s="1"/>
  <c r="F53" i="2"/>
  <c r="F1616" i="11" s="1"/>
  <c r="G1616" i="11" s="1"/>
  <c r="L3" i="2"/>
  <c r="F1320" i="11" s="1"/>
  <c r="G1320" i="11" s="1"/>
  <c r="F3" i="2"/>
  <c r="F1316" i="11" s="1"/>
  <c r="G1316" i="11" s="1"/>
  <c r="G3" i="2"/>
  <c r="F1317" i="11" s="1"/>
  <c r="G1317" i="11" s="1"/>
  <c r="O18" i="2"/>
  <c r="J18" i="2" s="1"/>
  <c r="H1405" i="11" s="1"/>
  <c r="G6" i="2"/>
  <c r="F1335" i="11" s="1"/>
  <c r="G1335" i="11" s="1"/>
  <c r="H60" i="2"/>
  <c r="F1660" i="11" s="1"/>
  <c r="G1660" i="11" s="1"/>
  <c r="G60" i="2"/>
  <c r="F1659" i="11" s="1"/>
  <c r="G1659" i="11" s="1"/>
  <c r="F60" i="2"/>
  <c r="F1658" i="11" s="1"/>
  <c r="G1658" i="11" s="1"/>
  <c r="F6" i="2"/>
  <c r="F1334" i="11" s="1"/>
  <c r="G1334" i="11" s="1"/>
  <c r="G49" i="2"/>
  <c r="F1593" i="11" s="1"/>
  <c r="G1593" i="11" s="1"/>
  <c r="F49" i="2"/>
  <c r="F1592" i="11" s="1"/>
  <c r="G1592" i="11" s="1"/>
  <c r="F23" i="2"/>
  <c r="F1436" i="11" s="1"/>
  <c r="G1436" i="11" s="1"/>
  <c r="G23" i="2"/>
  <c r="F1437" i="11" s="1"/>
  <c r="G1437" i="11" s="1"/>
  <c r="H23" i="2"/>
  <c r="F1438" i="11" s="1"/>
  <c r="G1438" i="11" s="1"/>
  <c r="G22" i="2"/>
  <c r="F1431" i="11" s="1"/>
  <c r="G1431" i="11" s="1"/>
  <c r="H22" i="2"/>
  <c r="F1432" i="11" s="1"/>
  <c r="G1432" i="11" s="1"/>
  <c r="F22" i="2"/>
  <c r="F1430" i="11" s="1"/>
  <c r="G1430" i="11" s="1"/>
  <c r="E15" i="2"/>
  <c r="F1391" i="11" s="1"/>
  <c r="G1391" i="11" s="1"/>
  <c r="G15" i="2"/>
  <c r="F1389" i="11" s="1"/>
  <c r="G1389" i="11" s="1"/>
  <c r="L15" i="2"/>
  <c r="F1392" i="11" s="1"/>
  <c r="G1392" i="11" s="1"/>
  <c r="F15" i="2"/>
  <c r="F1388" i="11" s="1"/>
  <c r="G1388" i="11" s="1"/>
  <c r="N20" i="2"/>
  <c r="J20" i="2" s="1"/>
  <c r="H1417" i="11" s="1"/>
  <c r="G52" i="2"/>
  <c r="F1611" i="11" s="1"/>
  <c r="G1611" i="11" s="1"/>
  <c r="N9" i="2"/>
  <c r="J9" i="2" s="1"/>
  <c r="H1351" i="11" s="1"/>
  <c r="N25" i="2"/>
  <c r="J25" i="2" s="1"/>
  <c r="H1447" i="11" s="1"/>
  <c r="H52" i="2"/>
  <c r="F1612" i="11" s="1"/>
  <c r="G1612" i="11" s="1"/>
  <c r="G16" i="2"/>
  <c r="F1395" i="11" s="1"/>
  <c r="G1395" i="11" s="1"/>
  <c r="E16" i="2"/>
  <c r="F1397" i="11" s="1"/>
  <c r="G1397" i="11" s="1"/>
  <c r="L16" i="2"/>
  <c r="F1398" i="11" s="1"/>
  <c r="G1398" i="11" s="1"/>
  <c r="F16" i="2"/>
  <c r="F1394" i="11" s="1"/>
  <c r="G1394" i="11" s="1"/>
  <c r="N10" i="2"/>
  <c r="J10" i="2" s="1"/>
  <c r="H1357" i="11" s="1"/>
  <c r="N26" i="2"/>
  <c r="J26" i="2" s="1"/>
  <c r="H1453" i="11" s="1"/>
  <c r="F52" i="2"/>
  <c r="F1610" i="11" s="1"/>
  <c r="G1610" i="11" s="1"/>
  <c r="N60" i="2"/>
  <c r="J60" i="2" s="1"/>
  <c r="H1657" i="11" s="1"/>
  <c r="G1459" i="11" l="1"/>
  <c r="G1615" i="11"/>
  <c r="I1615" i="11" s="1"/>
  <c r="J1615" i="11" s="1"/>
  <c r="I1399" i="11"/>
  <c r="J1399" i="11" s="1"/>
  <c r="I1357" i="11"/>
  <c r="J1357" i="11" s="1"/>
  <c r="I1489" i="11"/>
  <c r="J1489" i="11" s="1"/>
  <c r="G1591" i="11"/>
  <c r="I1591" i="11" s="1"/>
  <c r="J1591" i="11" s="1"/>
  <c r="G1483" i="11"/>
  <c r="G1657" i="11"/>
  <c r="I1657" i="11" s="1"/>
  <c r="J1657" i="11" s="1"/>
  <c r="I1363" i="11"/>
  <c r="J1363" i="11" s="1"/>
  <c r="G1435" i="11"/>
  <c r="I1435" i="11" s="1"/>
  <c r="J1435" i="11" s="1"/>
  <c r="G1651" i="11"/>
  <c r="I1651" i="11" s="1"/>
  <c r="J1651" i="11" s="1"/>
  <c r="G67" i="12"/>
  <c r="F67" i="12"/>
  <c r="P40" i="12"/>
  <c r="O67" i="12"/>
  <c r="S1381" i="11"/>
  <c r="N1381" i="11"/>
  <c r="S1441" i="11"/>
  <c r="N1441" i="11"/>
  <c r="S1669" i="11"/>
  <c r="N1669" i="11"/>
  <c r="S1327" i="11"/>
  <c r="N1327" i="11"/>
  <c r="N1525" i="11"/>
  <c r="S1525" i="11"/>
  <c r="S1369" i="11"/>
  <c r="N1369" i="11"/>
  <c r="S1549" i="11"/>
  <c r="N1549" i="11"/>
  <c r="S1507" i="11"/>
  <c r="N1507" i="11"/>
  <c r="S1633" i="11"/>
  <c r="N1633" i="11"/>
  <c r="S1603" i="11"/>
  <c r="N1603" i="11"/>
  <c r="P30" i="12"/>
  <c r="D67" i="12"/>
  <c r="P44" i="12"/>
  <c r="P38" i="12"/>
  <c r="I1351" i="11"/>
  <c r="J1351" i="11" s="1"/>
  <c r="P50" i="12"/>
  <c r="P60" i="12"/>
  <c r="P48" i="12"/>
  <c r="P58" i="12"/>
  <c r="S1519" i="11"/>
  <c r="N1519" i="11"/>
  <c r="J1501" i="11"/>
  <c r="S1645" i="11"/>
  <c r="N1645" i="11"/>
  <c r="G1393" i="11"/>
  <c r="I1393" i="11" s="1"/>
  <c r="J1393" i="11" s="1"/>
  <c r="G1315" i="11"/>
  <c r="I1315" i="11" s="1"/>
  <c r="J1315" i="11" s="1"/>
  <c r="G1447" i="11"/>
  <c r="I1447" i="11" s="1"/>
  <c r="J1447" i="11" s="1"/>
  <c r="G13" i="8"/>
  <c r="N1585" i="11"/>
  <c r="S1585" i="11"/>
  <c r="S1579" i="11"/>
  <c r="N1579" i="11"/>
  <c r="L67" i="12"/>
  <c r="J67" i="12"/>
  <c r="P62" i="12"/>
  <c r="P32" i="12"/>
  <c r="P36" i="12"/>
  <c r="P52" i="12"/>
  <c r="P56" i="12"/>
  <c r="H63" i="12"/>
  <c r="D53" i="12"/>
  <c r="M57" i="12"/>
  <c r="K57" i="12"/>
  <c r="K49" i="12"/>
  <c r="F61" i="12"/>
  <c r="F35" i="12"/>
  <c r="N57" i="12"/>
  <c r="F39" i="12"/>
  <c r="O39" i="12"/>
  <c r="D63" i="12"/>
  <c r="L49" i="12"/>
  <c r="G57" i="12"/>
  <c r="O35" i="12"/>
  <c r="F57" i="12"/>
  <c r="E49" i="12"/>
  <c r="H59" i="12"/>
  <c r="E53" i="12"/>
  <c r="G33" i="12"/>
  <c r="O65" i="12"/>
  <c r="G53" i="12"/>
  <c r="F33" i="12"/>
  <c r="N43" i="12"/>
  <c r="H43" i="12"/>
  <c r="D59" i="12"/>
  <c r="M65" i="12"/>
  <c r="M49" i="12"/>
  <c r="K65" i="12"/>
  <c r="E65" i="12"/>
  <c r="D33" i="12"/>
  <c r="E43" i="12"/>
  <c r="O57" i="12"/>
  <c r="M35" i="12"/>
  <c r="K55" i="12"/>
  <c r="J65" i="12"/>
  <c r="G59" i="12"/>
  <c r="D37" i="12"/>
  <c r="H37" i="12"/>
  <c r="G37" i="12"/>
  <c r="G65" i="12"/>
  <c r="F65" i="12"/>
  <c r="E57" i="12"/>
  <c r="M45" i="12"/>
  <c r="H57" i="12"/>
  <c r="G61" i="12"/>
  <c r="L53" i="12"/>
  <c r="N65" i="12"/>
  <c r="I45" i="12"/>
  <c r="J33" i="12"/>
  <c r="L63" i="12"/>
  <c r="F59" i="12"/>
  <c r="E59" i="12"/>
  <c r="M61" i="12"/>
  <c r="K39" i="12"/>
  <c r="E63" i="12"/>
  <c r="O55" i="12"/>
  <c r="L39" i="12"/>
  <c r="O37" i="12"/>
  <c r="L37" i="12"/>
  <c r="K45" i="12"/>
  <c r="F55" i="12"/>
  <c r="O63" i="12"/>
  <c r="H65" i="12"/>
  <c r="E61" i="12"/>
  <c r="O59" i="12"/>
  <c r="L61" i="12"/>
  <c r="N55" i="12"/>
  <c r="M55" i="12"/>
  <c r="I57" i="12"/>
  <c r="H61" i="12"/>
  <c r="I55" i="12"/>
  <c r="G55" i="12"/>
  <c r="O49" i="12"/>
  <c r="E39" i="12"/>
  <c r="I65" i="12"/>
  <c r="J39" i="12"/>
  <c r="M33" i="12"/>
  <c r="I39" i="12"/>
  <c r="J35" i="12"/>
  <c r="O43" i="12"/>
  <c r="K37" i="12"/>
  <c r="F43" i="12"/>
  <c r="D61" i="12"/>
  <c r="O53" i="12"/>
  <c r="O33" i="12"/>
  <c r="N53" i="12"/>
  <c r="L45" i="12"/>
  <c r="E55" i="12"/>
  <c r="F63" i="12"/>
  <c r="J43" i="12"/>
  <c r="I35" i="12"/>
  <c r="D39" i="12"/>
  <c r="N39" i="12"/>
  <c r="L59" i="12"/>
  <c r="J53" i="12"/>
  <c r="K33" i="12"/>
  <c r="I53" i="12"/>
  <c r="F45" i="12"/>
  <c r="D57" i="12"/>
  <c r="I63" i="12"/>
  <c r="G63" i="12"/>
  <c r="N59" i="12"/>
  <c r="H35" i="12"/>
  <c r="E45" i="12"/>
  <c r="I49" i="12"/>
  <c r="K61" i="12"/>
  <c r="H39" i="12"/>
  <c r="G39" i="12"/>
  <c r="L55" i="12"/>
  <c r="O61" i="12"/>
  <c r="O45" i="12"/>
  <c r="N61" i="12"/>
  <c r="J57" i="12"/>
  <c r="K53" i="12"/>
  <c r="L33" i="12"/>
  <c r="J63" i="12"/>
  <c r="I43" i="12"/>
  <c r="M39" i="12"/>
  <c r="M59" i="12"/>
  <c r="N45" i="12"/>
  <c r="D35" i="12"/>
  <c r="N33" i="12"/>
  <c r="J37" i="12"/>
  <c r="M37" i="12"/>
  <c r="E37" i="12"/>
  <c r="G43" i="12"/>
  <c r="L57" i="12"/>
  <c r="G49" i="12"/>
  <c r="K63" i="12"/>
  <c r="E35" i="12"/>
  <c r="M43" i="12"/>
  <c r="N63" i="12"/>
  <c r="M63" i="12"/>
  <c r="D65" i="12"/>
  <c r="K59" i="12"/>
  <c r="J59" i="12"/>
  <c r="H33" i="12"/>
  <c r="F53" i="12"/>
  <c r="H53" i="12"/>
  <c r="J55" i="12"/>
  <c r="J49" i="12"/>
  <c r="N35" i="12"/>
  <c r="J45" i="12"/>
  <c r="L43" i="12"/>
  <c r="D45" i="12"/>
  <c r="F37" i="12"/>
  <c r="L65" i="12"/>
  <c r="H55" i="12"/>
  <c r="J61" i="12"/>
  <c r="I61" i="12"/>
  <c r="I33" i="12"/>
  <c r="D43" i="12"/>
  <c r="D55" i="12"/>
  <c r="G45" i="12"/>
  <c r="M53" i="12"/>
  <c r="H49" i="12"/>
  <c r="K35" i="12"/>
  <c r="I59" i="12"/>
  <c r="F49" i="12"/>
  <c r="D49" i="12"/>
  <c r="G35" i="12"/>
  <c r="H45" i="12"/>
  <c r="L35" i="12"/>
  <c r="K43" i="12"/>
  <c r="N49" i="12"/>
  <c r="E33" i="12"/>
  <c r="N37" i="12"/>
  <c r="I37" i="12"/>
  <c r="D47" i="12"/>
  <c r="I47" i="12"/>
  <c r="K47" i="12"/>
  <c r="F31" i="12"/>
  <c r="D31" i="12"/>
  <c r="E31" i="12"/>
  <c r="N41" i="12"/>
  <c r="O41" i="12"/>
  <c r="E41" i="12"/>
  <c r="K51" i="12"/>
  <c r="F51" i="12"/>
  <c r="O51" i="12"/>
  <c r="J41" i="12"/>
  <c r="H41" i="12"/>
  <c r="M41" i="12"/>
  <c r="D51" i="12"/>
  <c r="J47" i="12"/>
  <c r="D41" i="12"/>
  <c r="N51" i="12"/>
  <c r="I51" i="12"/>
  <c r="N47" i="12"/>
  <c r="O47" i="12"/>
  <c r="E47" i="12"/>
  <c r="I31" i="12"/>
  <c r="K31" i="12"/>
  <c r="J31" i="12"/>
  <c r="I41" i="12"/>
  <c r="F41" i="12"/>
  <c r="K41" i="12"/>
  <c r="J51" i="12"/>
  <c r="M51" i="12"/>
  <c r="H51" i="12"/>
  <c r="F47" i="12"/>
  <c r="L47" i="12"/>
  <c r="M47" i="12"/>
  <c r="O31" i="12"/>
  <c r="H31" i="12"/>
  <c r="N31" i="12"/>
  <c r="L51" i="12"/>
  <c r="E51" i="12"/>
  <c r="G47" i="12"/>
  <c r="H47" i="12"/>
  <c r="G31" i="12"/>
  <c r="L31" i="12"/>
  <c r="M31" i="12"/>
  <c r="G41" i="12"/>
  <c r="L41" i="12"/>
  <c r="G51" i="12"/>
  <c r="S1675" i="11"/>
  <c r="N1675" i="11"/>
  <c r="S1321" i="11"/>
  <c r="N1321" i="11"/>
  <c r="J27" i="2"/>
  <c r="H1459" i="11" s="1"/>
  <c r="N1561" i="11"/>
  <c r="S1561" i="11"/>
  <c r="N1543" i="11"/>
  <c r="S1543" i="11"/>
  <c r="S1375" i="11"/>
  <c r="N1375" i="11"/>
  <c r="S1567" i="11"/>
  <c r="N1567" i="11"/>
  <c r="H67" i="12"/>
  <c r="P64" i="12"/>
  <c r="P34" i="12"/>
  <c r="S1537" i="11"/>
  <c r="N1537" i="11"/>
  <c r="J7" i="2"/>
  <c r="H1339" i="11" s="1"/>
  <c r="N19" i="2"/>
  <c r="J19" i="2" s="1"/>
  <c r="H1411" i="11" s="1"/>
  <c r="S1555" i="11"/>
  <c r="N1555" i="11"/>
  <c r="S1531" i="11"/>
  <c r="N1531" i="11"/>
  <c r="N1639" i="11"/>
  <c r="S1639" i="11"/>
  <c r="I1477" i="11"/>
  <c r="J1477" i="11" s="1"/>
  <c r="K67" i="12"/>
  <c r="J1513" i="11"/>
  <c r="S1621" i="11"/>
  <c r="N1621" i="11"/>
  <c r="G1609" i="11"/>
  <c r="I1609" i="11" s="1"/>
  <c r="J1609" i="11" s="1"/>
  <c r="G1387" i="11"/>
  <c r="I1387" i="11" s="1"/>
  <c r="J1387" i="11" s="1"/>
  <c r="G1429" i="11"/>
  <c r="G1333" i="11"/>
  <c r="I1333" i="11" s="1"/>
  <c r="J1333" i="11" s="1"/>
  <c r="I1453" i="11"/>
  <c r="J1453" i="11" s="1"/>
  <c r="S1597" i="11"/>
  <c r="N1597" i="11"/>
  <c r="T33" i="2"/>
  <c r="J33" i="2" s="1"/>
  <c r="H1495" i="11" s="1"/>
  <c r="I1495" i="11" s="1"/>
  <c r="J28" i="2"/>
  <c r="H1465" i="11" s="1"/>
  <c r="S1345" i="11"/>
  <c r="N1345" i="11"/>
  <c r="G1471" i="11"/>
  <c r="I1471" i="11" s="1"/>
  <c r="J1471" i="11" s="1"/>
  <c r="N1627" i="11"/>
  <c r="S1627" i="11"/>
  <c r="N67" i="12"/>
  <c r="M67" i="12"/>
  <c r="E67" i="12"/>
  <c r="I67" i="12"/>
  <c r="P46" i="12"/>
  <c r="P54" i="12"/>
  <c r="P42" i="12"/>
  <c r="S1573" i="11"/>
  <c r="N1573" i="11"/>
  <c r="I1417" i="11"/>
  <c r="J1417" i="11" s="1"/>
  <c r="J31" i="2"/>
  <c r="H1483" i="11" s="1"/>
  <c r="L18" i="2"/>
  <c r="F1410" i="11" s="1"/>
  <c r="G1410" i="11" s="1"/>
  <c r="E18" i="2"/>
  <c r="F1409" i="11" s="1"/>
  <c r="G1409" i="11" s="1"/>
  <c r="F18" i="2"/>
  <c r="F1406" i="11" s="1"/>
  <c r="G1406" i="11" s="1"/>
  <c r="G18" i="2"/>
  <c r="F1407" i="11" s="1"/>
  <c r="G1407" i="11" s="1"/>
  <c r="N22" i="2"/>
  <c r="J22" i="2" s="1"/>
  <c r="H1429" i="11" s="1"/>
  <c r="N21" i="2"/>
  <c r="J21" i="2" s="1"/>
  <c r="H1423" i="11" s="1"/>
  <c r="I1459" i="11" l="1"/>
  <c r="J1459" i="11" s="1"/>
  <c r="K68" i="12"/>
  <c r="K70" i="12" s="1"/>
  <c r="P45" i="12"/>
  <c r="M68" i="12"/>
  <c r="M70" i="12" s="1"/>
  <c r="H68" i="12"/>
  <c r="H70" i="12" s="1"/>
  <c r="P55" i="12"/>
  <c r="N1471" i="11"/>
  <c r="S1471" i="11"/>
  <c r="S1609" i="11"/>
  <c r="N1609" i="11"/>
  <c r="S1351" i="11"/>
  <c r="N1351" i="11"/>
  <c r="S1477" i="11"/>
  <c r="N1477" i="11"/>
  <c r="N1453" i="11"/>
  <c r="S1453" i="11"/>
  <c r="S1417" i="11"/>
  <c r="N1417" i="11"/>
  <c r="S1387" i="11"/>
  <c r="N1387" i="11"/>
  <c r="S1513" i="11"/>
  <c r="N1513" i="11"/>
  <c r="S1651" i="11"/>
  <c r="N1651" i="11"/>
  <c r="N1399" i="11"/>
  <c r="S1399" i="11"/>
  <c r="P31" i="12"/>
  <c r="D68" i="12"/>
  <c r="D70" i="12" s="1"/>
  <c r="P35" i="12"/>
  <c r="P37" i="12"/>
  <c r="P59" i="12"/>
  <c r="N1591" i="11"/>
  <c r="S1591" i="11"/>
  <c r="S1657" i="11"/>
  <c r="N1657" i="11"/>
  <c r="S1363" i="11"/>
  <c r="N1363" i="11"/>
  <c r="N1333" i="11"/>
  <c r="S1333" i="11"/>
  <c r="L68" i="12"/>
  <c r="L70" i="12" s="1"/>
  <c r="O68" i="12"/>
  <c r="O70" i="12" s="1"/>
  <c r="F68" i="12"/>
  <c r="F70" i="12" s="1"/>
  <c r="P49" i="12"/>
  <c r="P43" i="12"/>
  <c r="P39" i="12"/>
  <c r="I1411" i="11"/>
  <c r="J1411" i="11" s="1"/>
  <c r="S1315" i="11"/>
  <c r="N1315" i="11"/>
  <c r="I1429" i="11"/>
  <c r="J1429" i="11" s="1"/>
  <c r="I1483" i="11"/>
  <c r="J1483" i="11" s="1"/>
  <c r="S1357" i="11"/>
  <c r="N1357" i="11"/>
  <c r="G68" i="12"/>
  <c r="G70" i="12" s="1"/>
  <c r="P57" i="12"/>
  <c r="P61" i="12"/>
  <c r="P63" i="12"/>
  <c r="I1339" i="11"/>
  <c r="J1339" i="11" s="1"/>
  <c r="I1423" i="11"/>
  <c r="J1423" i="11" s="1"/>
  <c r="N1615" i="11"/>
  <c r="S1615" i="11"/>
  <c r="S1447" i="11"/>
  <c r="N1447" i="11"/>
  <c r="P47" i="12"/>
  <c r="N1489" i="11"/>
  <c r="S1489" i="11"/>
  <c r="N1393" i="11"/>
  <c r="S1393" i="11"/>
  <c r="J1495" i="11"/>
  <c r="I68" i="12"/>
  <c r="I70" i="12" s="1"/>
  <c r="P51" i="12"/>
  <c r="G1405" i="11"/>
  <c r="I1405" i="11" s="1"/>
  <c r="J1405" i="11" s="1"/>
  <c r="N68" i="12"/>
  <c r="N70" i="12" s="1"/>
  <c r="J68" i="12"/>
  <c r="J70" i="12" s="1"/>
  <c r="P41" i="12"/>
  <c r="E68" i="12"/>
  <c r="E70" i="12" s="1"/>
  <c r="P65" i="12"/>
  <c r="P33" i="12"/>
  <c r="P53" i="12"/>
  <c r="N1501" i="11"/>
  <c r="S1501" i="11"/>
  <c r="I1465" i="11"/>
  <c r="J1465" i="11" s="1"/>
  <c r="S1435" i="11"/>
  <c r="N1435" i="11"/>
  <c r="P67" i="12"/>
  <c r="S1339" i="11" l="1"/>
  <c r="N1339" i="11"/>
  <c r="S1483" i="11"/>
  <c r="N1483" i="11"/>
  <c r="S1429" i="11"/>
  <c r="N1429" i="11"/>
  <c r="S1856" i="11"/>
  <c r="P70" i="12"/>
  <c r="N1465" i="11"/>
  <c r="S1465" i="11"/>
  <c r="P68" i="12"/>
  <c r="S1459" i="11"/>
  <c r="N1459" i="11"/>
  <c r="S1495" i="11"/>
  <c r="N1495" i="11"/>
  <c r="S1411" i="11"/>
  <c r="N1411" i="11"/>
  <c r="S1405" i="11"/>
  <c r="N1405" i="11"/>
  <c r="N1423" i="11"/>
  <c r="S1423" i="11"/>
  <c r="N1862" i="11" l="1"/>
  <c r="N1856" i="11"/>
  <c r="N1867" i="11"/>
  <c r="S1867" i="11"/>
  <c r="B16" i="6" s="1"/>
  <c r="B19" i="6" s="1"/>
  <c r="S1862" i="11"/>
  <c r="Q60" i="12"/>
  <c r="D71" i="12"/>
  <c r="Q50" i="12"/>
  <c r="Q31" i="12"/>
  <c r="Q52" i="12"/>
  <c r="Q43" i="12"/>
  <c r="Q64" i="12"/>
  <c r="Q58" i="12"/>
  <c r="Q56" i="12"/>
  <c r="Q30" i="12"/>
  <c r="Q35" i="12"/>
  <c r="Q45" i="12"/>
  <c r="L71" i="12"/>
  <c r="N71" i="12"/>
  <c r="Q49" i="12"/>
  <c r="Q34" i="12"/>
  <c r="O71" i="12"/>
  <c r="G71" i="12"/>
  <c r="E71" i="12"/>
  <c r="Q59" i="12"/>
  <c r="Q53" i="12"/>
  <c r="Q42" i="12"/>
  <c r="M71" i="12"/>
  <c r="Q47" i="12"/>
  <c r="J71" i="12"/>
  <c r="Q55" i="12"/>
  <c r="Q57" i="12"/>
  <c r="Q32" i="12"/>
  <c r="Q37" i="12"/>
  <c r="Q41" i="12"/>
  <c r="Q61" i="12"/>
  <c r="I71" i="12"/>
  <c r="Q62" i="12"/>
  <c r="K71" i="12"/>
  <c r="P71" i="12"/>
  <c r="Q63" i="12"/>
  <c r="Q46" i="12"/>
  <c r="Q44" i="12"/>
  <c r="Q48" i="12"/>
  <c r="H71" i="12"/>
  <c r="Q36" i="12"/>
  <c r="Q51" i="12"/>
  <c r="Q33" i="12"/>
  <c r="F71" i="12"/>
  <c r="Q38" i="12"/>
  <c r="Q40" i="12"/>
  <c r="Q39" i="12"/>
  <c r="Q54" i="12"/>
  <c r="Q65" i="12"/>
  <c r="Q67" i="12" l="1"/>
  <c r="Q70" i="12" s="1"/>
  <c r="Q68" i="12"/>
  <c r="Q71" i="12" l="1"/>
</calcChain>
</file>

<file path=xl/comments1.xml><?xml version="1.0" encoding="utf-8"?>
<comments xmlns="http://schemas.openxmlformats.org/spreadsheetml/2006/main">
  <authors>
    <author>Ruy  José da Costa</author>
    <author>PARANACIDADE: Ruy  Jose da Costa</author>
    <author>PARANACIDADE</author>
    <author>ruy</author>
  </authors>
  <commentList>
    <comment ref="C1" authorId="0">
      <text>
        <r>
          <rPr>
            <b/>
            <sz val="8"/>
            <color indexed="81"/>
            <rFont val="Segoe UI"/>
            <family val="2"/>
          </rPr>
          <t>Ruy  José da Costa:</t>
        </r>
        <r>
          <rPr>
            <sz val="8"/>
            <color indexed="81"/>
            <rFont val="Segoe UI"/>
            <family val="2"/>
          </rPr>
          <t xml:space="preserve">
FILTRO PARA EDITAL
    "</t>
        </r>
        <r>
          <rPr>
            <b/>
            <sz val="8"/>
            <color indexed="81"/>
            <rFont val="Segoe UI"/>
            <family val="2"/>
          </rPr>
          <t>CARTILHA</t>
        </r>
        <r>
          <rPr>
            <sz val="8"/>
            <color indexed="81"/>
            <rFont val="Segoe UI"/>
            <family val="2"/>
          </rPr>
          <t>"</t>
        </r>
      </text>
    </comment>
    <comment ref="K1" authorId="0">
      <text>
        <r>
          <rPr>
            <b/>
            <sz val="8"/>
            <color indexed="81"/>
            <rFont val="Segoe UI"/>
            <family val="2"/>
          </rPr>
          <t>Ruy  José da Costa:</t>
        </r>
        <r>
          <rPr>
            <sz val="8"/>
            <color indexed="81"/>
            <rFont val="Segoe UI"/>
            <family val="2"/>
          </rPr>
          <t xml:space="preserve">
FILTRO PARA EDITAL
    "</t>
        </r>
        <r>
          <rPr>
            <b/>
            <sz val="8"/>
            <color indexed="81"/>
            <rFont val="Segoe UI"/>
            <family val="2"/>
          </rPr>
          <t>CARTILHA</t>
        </r>
        <r>
          <rPr>
            <sz val="8"/>
            <color indexed="81"/>
            <rFont val="Segoe UI"/>
            <family val="2"/>
          </rPr>
          <t>"</t>
        </r>
      </text>
    </comment>
    <comment ref="R1" authorId="0">
      <text>
        <r>
          <rPr>
            <b/>
            <sz val="8"/>
            <color indexed="81"/>
            <rFont val="Segoe UI"/>
            <family val="2"/>
          </rPr>
          <t>Ruy  José da Costa:</t>
        </r>
        <r>
          <rPr>
            <sz val="8"/>
            <color indexed="81"/>
            <rFont val="Segoe UI"/>
            <family val="2"/>
          </rPr>
          <t xml:space="preserve">
FILTRO PARA EDITAL
    "</t>
        </r>
        <r>
          <rPr>
            <b/>
            <sz val="8"/>
            <color indexed="81"/>
            <rFont val="Segoe UI"/>
            <family val="2"/>
          </rPr>
          <t>CARTILHA</t>
        </r>
        <r>
          <rPr>
            <sz val="8"/>
            <color indexed="81"/>
            <rFont val="Segoe UI"/>
            <family val="2"/>
          </rPr>
          <t>"</t>
        </r>
      </text>
    </comment>
    <comment ref="U1" authorId="0">
      <text>
        <r>
          <rPr>
            <b/>
            <sz val="8"/>
            <color indexed="81"/>
            <rFont val="Segoe UI"/>
            <family val="2"/>
          </rPr>
          <t>Ruy  José da Costa:</t>
        </r>
        <r>
          <rPr>
            <sz val="8"/>
            <color indexed="81"/>
            <rFont val="Segoe UI"/>
            <family val="2"/>
          </rPr>
          <t xml:space="preserve">
FILTRO PARA EDITAL
    "</t>
        </r>
        <r>
          <rPr>
            <b/>
            <sz val="8"/>
            <color indexed="81"/>
            <rFont val="Segoe UI"/>
            <family val="2"/>
          </rPr>
          <t>CARTILHA</t>
        </r>
        <r>
          <rPr>
            <sz val="8"/>
            <color indexed="81"/>
            <rFont val="Segoe UI"/>
            <family val="2"/>
          </rPr>
          <t>"</t>
        </r>
      </text>
    </comment>
    <comment ref="C3" authorId="0">
      <text>
        <r>
          <rPr>
            <b/>
            <sz val="8"/>
            <color indexed="81"/>
            <rFont val="Segoe UI"/>
            <family val="2"/>
          </rPr>
          <t>Ruy  José da Costa:</t>
        </r>
        <r>
          <rPr>
            <sz val="8"/>
            <color indexed="81"/>
            <rFont val="Segoe UI"/>
            <family val="2"/>
          </rPr>
          <t xml:space="preserve">
FILTRO PARA EDITAL
    "</t>
        </r>
        <r>
          <rPr>
            <b/>
            <sz val="8"/>
            <color indexed="81"/>
            <rFont val="Segoe UI"/>
            <family val="2"/>
          </rPr>
          <t>ANEXO</t>
        </r>
        <r>
          <rPr>
            <sz val="8"/>
            <color indexed="81"/>
            <rFont val="Segoe UI"/>
            <family val="2"/>
          </rPr>
          <t>"</t>
        </r>
      </text>
    </comment>
    <comment ref="K3" authorId="0">
      <text>
        <r>
          <rPr>
            <b/>
            <sz val="8"/>
            <color indexed="81"/>
            <rFont val="Segoe UI"/>
            <family val="2"/>
          </rPr>
          <t>Ruy  José da Costa:</t>
        </r>
        <r>
          <rPr>
            <sz val="8"/>
            <color indexed="81"/>
            <rFont val="Segoe UI"/>
            <family val="2"/>
          </rPr>
          <t xml:space="preserve">
FILTRO PARA EDITAL
    "</t>
        </r>
        <r>
          <rPr>
            <b/>
            <sz val="8"/>
            <color indexed="81"/>
            <rFont val="Segoe UI"/>
            <family val="2"/>
          </rPr>
          <t>ANEXO</t>
        </r>
        <r>
          <rPr>
            <sz val="8"/>
            <color indexed="81"/>
            <rFont val="Segoe UI"/>
            <family val="2"/>
          </rPr>
          <t>"</t>
        </r>
      </text>
    </comment>
    <comment ref="Q3" authorId="0">
      <text>
        <r>
          <rPr>
            <b/>
            <sz val="8"/>
            <color indexed="81"/>
            <rFont val="Segoe UI"/>
            <family val="2"/>
          </rPr>
          <t>Ruy  José da Costa:</t>
        </r>
        <r>
          <rPr>
            <sz val="8"/>
            <color indexed="81"/>
            <rFont val="Segoe UI"/>
            <family val="2"/>
          </rPr>
          <t xml:space="preserve">
FILTRO PARA EDITAL
    "</t>
        </r>
        <r>
          <rPr>
            <b/>
            <sz val="8"/>
            <color indexed="81"/>
            <rFont val="Segoe UI"/>
            <family val="2"/>
          </rPr>
          <t>ANEXO</t>
        </r>
        <r>
          <rPr>
            <sz val="8"/>
            <color indexed="81"/>
            <rFont val="Segoe UI"/>
            <family val="2"/>
          </rPr>
          <t>"</t>
        </r>
      </text>
    </comment>
    <comment ref="H25" authorId="0">
      <text>
        <r>
          <rPr>
            <b/>
            <sz val="8"/>
            <color indexed="81"/>
            <rFont val="Segoe UI"/>
            <family val="2"/>
          </rPr>
          <t>=MF3 pré x 0,50294</t>
        </r>
      </text>
    </comment>
    <comment ref="H26" authorId="0">
      <text>
        <r>
          <rPr>
            <b/>
            <sz val="8"/>
            <color indexed="81"/>
            <rFont val="Segoe UI"/>
            <family val="2"/>
          </rPr>
          <t>=MF3 pré x 0,33088</t>
        </r>
      </text>
    </comment>
    <comment ref="H27" authorId="0">
      <text>
        <r>
          <rPr>
            <b/>
            <sz val="8"/>
            <color indexed="81"/>
            <rFont val="Segoe UI"/>
            <family val="2"/>
          </rPr>
          <t>=MF3 pré x 0,411765</t>
        </r>
      </text>
    </comment>
    <comment ref="H33" authorId="1">
      <text>
        <r>
          <rPr>
            <b/>
            <sz val="12"/>
            <color indexed="81"/>
            <rFont val="Tahoma"/>
            <family val="2"/>
          </rPr>
          <t>CUSTO DA PLACA (R$/M2) * CONSUMO (0,1964)  + CUSTO DE UM
SUPORTE DE MADEIRA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4" authorId="1">
      <text>
        <r>
          <rPr>
            <b/>
            <sz val="12"/>
            <color indexed="81"/>
            <rFont val="Tahoma"/>
            <family val="2"/>
          </rPr>
          <t>CUSTO DA PLACA (R$/M2) * CONSUMO (0,1964)  + CUSTO DE UM
SUPORTE DE MADEIRA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5" authorId="1">
      <text>
        <r>
          <rPr>
            <b/>
            <sz val="12"/>
            <color indexed="81"/>
            <rFont val="Tahoma"/>
            <family val="2"/>
          </rPr>
          <t>CUSTO DA PLACA (R$/M2) * CONSUMO (0,1964)  + CUSTO DE UM
SUPORTE DE MADEIRA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6" authorId="1">
      <text>
        <r>
          <rPr>
            <b/>
            <sz val="12"/>
            <color indexed="81"/>
            <rFont val="Tahoma"/>
            <family val="2"/>
          </rPr>
          <t>CUSTO DA PLACA (R$/M2) * CONSUMO (0,1964)  + CUSTO DE UM
SUPORTE DE MADEIRA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9" authorId="2">
      <text>
        <r>
          <rPr>
            <b/>
            <sz val="12"/>
            <color indexed="81"/>
            <rFont val="Tahoma"/>
            <family val="2"/>
          </rPr>
          <t>1ª CAT 1000m</t>
        </r>
      </text>
    </comment>
    <comment ref="H84" authorId="2">
      <text>
        <r>
          <rPr>
            <b/>
            <sz val="12"/>
            <color indexed="81"/>
            <rFont val="Tahoma"/>
            <family val="2"/>
          </rPr>
          <t>1ª CAT 1000m</t>
        </r>
      </text>
    </comment>
    <comment ref="H85" authorId="2">
      <text>
        <r>
          <rPr>
            <b/>
            <sz val="12"/>
            <color indexed="81"/>
            <rFont val="Tahoma"/>
            <family val="2"/>
          </rPr>
          <t>2ª CAT 200m</t>
        </r>
      </text>
    </comment>
    <comment ref="H114" authorId="2">
      <text>
        <r>
          <rPr>
            <b/>
            <sz val="12"/>
            <color indexed="81"/>
            <rFont val="Tahoma"/>
            <family val="2"/>
          </rPr>
          <t xml:space="preserve">1º CAT+40% + aterro 95%
</t>
        </r>
      </text>
    </comment>
    <comment ref="H115" authorId="2">
      <text>
        <r>
          <rPr>
            <b/>
            <sz val="12"/>
            <color indexed="81"/>
            <rFont val="Tahoma"/>
            <family val="2"/>
          </rPr>
          <t xml:space="preserve">escavção jazida 1ª CAT+40% + aterro 95%
</t>
        </r>
      </text>
    </comment>
    <comment ref="H119" authorId="0">
      <text>
        <r>
          <rPr>
            <b/>
            <sz val="12"/>
            <color indexed="81"/>
            <rFont val="Segoe UI"/>
            <family val="2"/>
          </rPr>
          <t>espessura 15 cm</t>
        </r>
        <r>
          <rPr>
            <sz val="12"/>
            <color indexed="81"/>
            <rFont val="Segoe UI"/>
            <family val="2"/>
          </rPr>
          <t xml:space="preserve">
=1,73/0,15 =11,53</t>
        </r>
      </text>
    </comment>
    <comment ref="H120" authorId="0">
      <text>
        <r>
          <rPr>
            <b/>
            <sz val="12"/>
            <color indexed="81"/>
            <rFont val="Segoe UI"/>
            <family val="2"/>
          </rPr>
          <t>preenchimento de rebaixo com brita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121" authorId="2">
      <text>
        <r>
          <rPr>
            <b/>
            <sz val="12"/>
            <color indexed="81"/>
            <rFont val="Tahoma"/>
            <family val="2"/>
          </rPr>
          <t>escarificação e conformação do subleito</t>
        </r>
      </text>
    </comment>
    <comment ref="H122" authorId="0">
      <text>
        <r>
          <rPr>
            <b/>
            <sz val="8"/>
            <color indexed="81"/>
            <rFont val="Segoe UI"/>
            <family val="2"/>
          </rPr>
          <t>solo esrabilizado
100% PN</t>
        </r>
      </text>
    </comment>
    <comment ref="H123" authorId="0">
      <text>
        <r>
          <rPr>
            <b/>
            <sz val="8"/>
            <color indexed="81"/>
            <rFont val="Segoe UI"/>
            <family val="2"/>
          </rPr>
          <t>solo esrabilizado
100% PI</t>
        </r>
      </text>
    </comment>
    <comment ref="H218" author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219" author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220" author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221" author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12"/>
            <color indexed="81"/>
            <rFont val="Segoe UI"/>
            <family val="2"/>
          </rPr>
          <t xml:space="preserve">
</t>
        </r>
      </text>
    </comment>
    <comment ref="H227" authorId="3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=paver 4cm</t>
        </r>
      </text>
    </comment>
    <comment ref="H228" authorId="3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=(paver4cm+paver6)/2</t>
        </r>
      </text>
    </comment>
    <comment ref="H229" authorId="3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=paver 6cm</t>
        </r>
      </text>
    </comment>
    <comment ref="H230" authorId="3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=(paver6cm+paver8)/2</t>
        </r>
      </text>
    </comment>
    <comment ref="H231" authorId="3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=paver 8cm</t>
        </r>
      </text>
    </comment>
    <comment ref="H232" authorId="3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=paver 8cm/0,83</t>
        </r>
      </text>
    </comment>
    <comment ref="H233" authorId="3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=paver 6cm*0,92</t>
        </r>
      </text>
    </comment>
    <comment ref="H234" authorId="2">
      <text>
        <r>
          <rPr>
            <b/>
            <sz val="12"/>
            <color indexed="81"/>
            <rFont val="Tahoma"/>
            <family val="2"/>
          </rPr>
          <t>=paver cinza + 10%</t>
        </r>
      </text>
    </comment>
    <comment ref="H235" authorId="3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menos colchão</t>
        </r>
        <r>
          <rPr>
            <b/>
            <sz val="12"/>
            <color indexed="81"/>
            <rFont val="Tahoma"/>
            <family val="2"/>
          </rPr>
          <t xml:space="preserve">
</t>
        </r>
      </text>
    </comment>
    <comment ref="H236" authorId="2">
      <text>
        <r>
          <rPr>
            <b/>
            <sz val="12"/>
            <color indexed="81"/>
            <rFont val="Tahoma"/>
            <family val="2"/>
          </rPr>
          <t>=paver cinza + 10%</t>
        </r>
      </text>
    </comment>
    <comment ref="H237" authorId="3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menos colchão</t>
        </r>
        <r>
          <rPr>
            <b/>
            <sz val="12"/>
            <color indexed="81"/>
            <rFont val="Tahoma"/>
            <family val="2"/>
          </rPr>
          <t xml:space="preserve">
</t>
        </r>
      </text>
    </comment>
    <comment ref="H238" authorId="2">
      <text>
        <r>
          <rPr>
            <b/>
            <sz val="12"/>
            <color indexed="81"/>
            <rFont val="Tahoma"/>
            <family val="2"/>
          </rPr>
          <t>=paver cinza + 10%</t>
        </r>
      </text>
    </comment>
    <comment ref="H239" authorId="3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=paver 8cm/0,83</t>
        </r>
      </text>
    </comment>
    <comment ref="H240" authorId="2">
      <text>
        <r>
          <rPr>
            <b/>
            <sz val="12"/>
            <color indexed="81"/>
            <rFont val="Tahoma"/>
            <family val="2"/>
          </rPr>
          <t>=paver cinza + 10%</t>
        </r>
      </text>
    </comment>
    <comment ref="H241" authorId="3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=paver 4cm</t>
        </r>
      </text>
    </comment>
    <comment ref="H242" authorId="3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=(paver4cm+paver6)/2</t>
        </r>
      </text>
    </comment>
    <comment ref="H243" authorId="3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=paver 6cm</t>
        </r>
      </text>
    </comment>
    <comment ref="H244" authorId="2">
      <text>
        <r>
          <rPr>
            <b/>
            <sz val="12"/>
            <color indexed="81"/>
            <rFont val="Tahoma"/>
            <family val="2"/>
          </rPr>
          <t>DER
= PAVER 6CM X 1,05</t>
        </r>
      </text>
    </comment>
    <comment ref="H245" authorId="3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menos colchão</t>
        </r>
        <r>
          <rPr>
            <b/>
            <sz val="12"/>
            <color indexed="81"/>
            <rFont val="Tahoma"/>
            <family val="2"/>
          </rPr>
          <t xml:space="preserve">
</t>
        </r>
      </text>
    </comment>
    <comment ref="H246" authorId="3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=paver 8cm/0,83</t>
        </r>
      </text>
    </comment>
    <comment ref="H247" authorId="2">
      <text>
        <r>
          <rPr>
            <b/>
            <sz val="12"/>
            <color indexed="81"/>
            <rFont val="Tahoma"/>
            <family val="2"/>
          </rPr>
          <t>=paver 10 cm + 10%</t>
        </r>
      </text>
    </comment>
    <comment ref="H248" authorId="2">
      <text>
        <r>
          <rPr>
            <b/>
            <sz val="12"/>
            <color indexed="81"/>
            <rFont val="Tahoma"/>
            <family val="2"/>
          </rPr>
          <t xml:space="preserve">SEIL DEZ 2016  -  berço
</t>
        </r>
      </text>
    </comment>
    <comment ref="H249" authorId="0">
      <text>
        <r>
          <rPr>
            <sz val="12"/>
            <color indexed="81"/>
            <rFont val="Segoe UI"/>
            <family val="2"/>
          </rPr>
          <t>BDI betume = 20%
Correção = Valor+20%</t>
        </r>
        <r>
          <rPr>
            <b/>
            <sz val="12"/>
            <color indexed="81"/>
            <rFont val="Segoe UI"/>
            <family val="2"/>
          </rPr>
          <t xml:space="preserve"> = Vx1,2
Valor na célula: (Vx1,2) / 1,3</t>
        </r>
      </text>
    </comment>
    <comment ref="H254" authorId="0">
      <text>
        <r>
          <rPr>
            <sz val="12"/>
            <color indexed="81"/>
            <rFont val="Segoe UI"/>
            <family val="2"/>
          </rPr>
          <t>BDI betume = 20%
Correção = Valor+20%</t>
        </r>
        <r>
          <rPr>
            <b/>
            <sz val="12"/>
            <color indexed="81"/>
            <rFont val="Segoe UI"/>
            <family val="2"/>
          </rPr>
          <t xml:space="preserve"> = Vx1,2
Valor na célula: (Vx1,2) / 1,3</t>
        </r>
      </text>
    </comment>
    <comment ref="H259" authorId="0">
      <text>
        <r>
          <rPr>
            <sz val="12"/>
            <color indexed="81"/>
            <rFont val="Segoe UI"/>
            <family val="2"/>
          </rPr>
          <t>BDI betume = 20%
Correção = Valor+20%</t>
        </r>
        <r>
          <rPr>
            <b/>
            <sz val="12"/>
            <color indexed="81"/>
            <rFont val="Segoe UI"/>
            <family val="2"/>
          </rPr>
          <t xml:space="preserve"> = Vx1,2
Valor na célula: (Vx1,2) / 1,3</t>
        </r>
      </text>
    </comment>
    <comment ref="H264" authorId="0">
      <text>
        <r>
          <rPr>
            <sz val="12"/>
            <color indexed="81"/>
            <rFont val="Segoe UI"/>
            <family val="2"/>
          </rPr>
          <t>BDI betume = 20%
Correção = Valor+20%</t>
        </r>
        <r>
          <rPr>
            <b/>
            <sz val="12"/>
            <color indexed="81"/>
            <rFont val="Segoe UI"/>
            <family val="2"/>
          </rPr>
          <t xml:space="preserve"> = Vx1,2
Valor na célula: (Vx1,2) / 1,3</t>
        </r>
      </text>
    </comment>
    <comment ref="H269" author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272" author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275" author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</text>
    </comment>
    <comment ref="H278" author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281" author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284" author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287" author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</text>
    </comment>
    <comment ref="H290" author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</text>
    </comment>
    <comment ref="H293" author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296" author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299" author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</text>
    </comment>
    <comment ref="H303" author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307" author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312" author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317" author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322" author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328" author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334" author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340" author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</text>
    </comment>
    <comment ref="H346" author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436" authorId="0">
      <text>
        <r>
          <rPr>
            <b/>
            <sz val="8"/>
            <color indexed="81"/>
            <rFont val="Segoe UI"/>
            <family val="2"/>
          </rPr>
          <t>=MF3 pré x 0,50294</t>
        </r>
      </text>
    </comment>
    <comment ref="H437" authorId="0">
      <text>
        <r>
          <rPr>
            <b/>
            <sz val="8"/>
            <color indexed="81"/>
            <rFont val="Segoe UI"/>
            <family val="2"/>
          </rPr>
          <t>=MF3 pré x 0,33088</t>
        </r>
      </text>
    </comment>
    <comment ref="H438" authorId="0">
      <text>
        <r>
          <rPr>
            <b/>
            <sz val="8"/>
            <color indexed="81"/>
            <rFont val="Segoe UI"/>
            <family val="2"/>
          </rPr>
          <t>=MF3 pré x 0,411765</t>
        </r>
      </text>
    </comment>
    <comment ref="H449" authorId="2">
      <text>
        <r>
          <rPr>
            <b/>
            <sz val="12"/>
            <color indexed="81"/>
            <rFont val="Tahoma"/>
            <family val="2"/>
          </rPr>
          <t xml:space="preserve">Colchão argila DER 1,78
/m2 c/ 15 cm </t>
        </r>
      </text>
    </comment>
    <comment ref="H454" authorId="0">
      <text>
        <r>
          <rPr>
            <b/>
            <sz val="12"/>
            <color indexed="81"/>
            <rFont val="Segoe UI"/>
            <family val="2"/>
          </rPr>
          <t>Cocncreto Símples x 0,05
Transporte x 0,05
Forma (0,05*2m/m2)
 (2 aproveitamentos)  =  =2*0,05*I445 /2
Regularização = I 436</t>
        </r>
        <r>
          <rPr>
            <b/>
            <sz val="8"/>
            <color indexed="81"/>
            <rFont val="Segoe UI"/>
            <family val="2"/>
          </rPr>
          <t xml:space="preserve">
</t>
        </r>
      </text>
    </comment>
    <comment ref="H458" authorId="0">
      <text>
        <r>
          <rPr>
            <b/>
            <sz val="12"/>
            <color indexed="81"/>
            <rFont val="Segoe UI"/>
            <family val="2"/>
          </rPr>
          <t xml:space="preserve">Cocncreto Símples x 0,06
Transporte x 0,06
Forma (0,06*2m/m2)
 (2 aproveitamentos)  =  =2*0,06*I445 /2
Regularização = I 436
</t>
        </r>
      </text>
    </comment>
    <comment ref="H462" authorId="0">
      <text>
        <r>
          <rPr>
            <b/>
            <sz val="12"/>
            <color indexed="81"/>
            <rFont val="Segoe UI"/>
            <family val="2"/>
          </rPr>
          <t>Cocncreto Símples x 0,07
Transporte x 0,07
Forma (0,07*2m/m2)
 (2 aproveitamentos)  =  =2*0,07*I445 /2
Regularização = I 436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466" authorId="0">
      <text>
        <r>
          <rPr>
            <b/>
            <sz val="12"/>
            <color indexed="81"/>
            <rFont val="Segoe UI"/>
            <family val="2"/>
          </rPr>
          <t>Cocncreto Símples x 0,08
Transporte x 0,08
Forma (0,08*2m/m2)
 (2 aproveitamentos)  =  =2*0,08*I445 /2
Regularização = I 436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472" authorId="2">
      <text>
        <r>
          <rPr>
            <b/>
            <sz val="12"/>
            <color indexed="81"/>
            <rFont val="Tahoma"/>
            <family val="2"/>
          </rPr>
          <t xml:space="preserve">1º CAT+40% + aterro 95%
</t>
        </r>
      </text>
    </comment>
    <comment ref="H473" authorId="2">
      <text>
        <r>
          <rPr>
            <b/>
            <sz val="12"/>
            <color indexed="81"/>
            <rFont val="Tahoma"/>
            <family val="2"/>
          </rPr>
          <t xml:space="preserve">escavção jazida 1ª CAT+40% + aterro 95%
</t>
        </r>
      </text>
    </comment>
    <comment ref="H474" authorId="0">
      <text>
        <r>
          <rPr>
            <b/>
            <sz val="8"/>
            <color indexed="81"/>
            <rFont val="Segoe UI"/>
            <family val="2"/>
          </rPr>
          <t>solo esrabilizado
100% PN</t>
        </r>
      </text>
    </comment>
    <comment ref="H475" authorId="0">
      <text>
        <r>
          <rPr>
            <b/>
            <sz val="8"/>
            <color indexed="81"/>
            <rFont val="Segoe UI"/>
            <family val="2"/>
          </rPr>
          <t>solo esrabilizado
100% PI</t>
        </r>
      </text>
    </comment>
    <comment ref="H482" author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483" author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484" author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485" author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12"/>
            <color indexed="81"/>
            <rFont val="Segoe UI"/>
            <family val="2"/>
          </rPr>
          <t xml:space="preserve">
</t>
        </r>
      </text>
    </comment>
    <comment ref="H486" author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12"/>
            <color indexed="81"/>
            <rFont val="Segoe UI"/>
            <family val="2"/>
          </rPr>
          <t xml:space="preserve">
</t>
        </r>
      </text>
    </comment>
    <comment ref="H489" author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</text>
    </comment>
    <comment ref="H493" author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497" author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502" author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507" author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512" authorId="0">
      <text>
        <r>
          <rPr>
            <b/>
            <sz val="12"/>
            <color indexed="81"/>
            <rFont val="Segoe UI"/>
            <family val="2"/>
          </rPr>
          <t>BDI betume = 20%
Correção = Valor+20% = Vx1,2
Valor na célula: (Vx1,2) / 1,3</t>
        </r>
      </text>
    </comment>
    <comment ref="H523" authorId="3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=paver 4cm</t>
        </r>
      </text>
    </comment>
    <comment ref="H524" authorId="3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=(paver4cm+paver6)/2</t>
        </r>
      </text>
    </comment>
    <comment ref="H525" authorId="3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=paver 6cm</t>
        </r>
      </text>
    </comment>
    <comment ref="H526" authorId="3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=(paver6cm+paver8)/2</t>
        </r>
      </text>
    </comment>
    <comment ref="H527" authorId="3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=paver 8cm</t>
        </r>
      </text>
    </comment>
    <comment ref="H528" authorId="3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=paver 8cm/0,83</t>
        </r>
      </text>
    </comment>
    <comment ref="H529" authorId="3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=paver 6cm*0,92</t>
        </r>
      </text>
    </comment>
    <comment ref="H530" authorId="2">
      <text>
        <r>
          <rPr>
            <b/>
            <sz val="12"/>
            <color indexed="81"/>
            <rFont val="Tahoma"/>
            <family val="2"/>
          </rPr>
          <t>=paver cinza + 10%</t>
        </r>
      </text>
    </comment>
    <comment ref="H531" authorId="3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menos colchão</t>
        </r>
        <r>
          <rPr>
            <b/>
            <sz val="12"/>
            <color indexed="81"/>
            <rFont val="Tahoma"/>
            <family val="2"/>
          </rPr>
          <t xml:space="preserve">
</t>
        </r>
      </text>
    </comment>
    <comment ref="H532" authorId="2">
      <text>
        <r>
          <rPr>
            <b/>
            <sz val="12"/>
            <color indexed="81"/>
            <rFont val="Tahoma"/>
            <family val="2"/>
          </rPr>
          <t>=paver cinza + 10%</t>
        </r>
      </text>
    </comment>
    <comment ref="H533" authorId="3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menos colchão</t>
        </r>
        <r>
          <rPr>
            <b/>
            <sz val="12"/>
            <color indexed="81"/>
            <rFont val="Tahoma"/>
            <family val="2"/>
          </rPr>
          <t xml:space="preserve">
</t>
        </r>
      </text>
    </comment>
    <comment ref="H534" authorId="2">
      <text>
        <r>
          <rPr>
            <b/>
            <sz val="12"/>
            <color indexed="81"/>
            <rFont val="Tahoma"/>
            <family val="2"/>
          </rPr>
          <t>=paver cinza + 10%</t>
        </r>
      </text>
    </comment>
    <comment ref="H535" authorId="3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=paver 8cm/0,83</t>
        </r>
      </text>
    </comment>
    <comment ref="H536" authorId="2">
      <text>
        <r>
          <rPr>
            <b/>
            <sz val="12"/>
            <color indexed="81"/>
            <rFont val="Tahoma"/>
            <family val="2"/>
          </rPr>
          <t>=paver cinza + 10%</t>
        </r>
      </text>
    </comment>
    <comment ref="H537" authorId="3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=paver 4cm</t>
        </r>
      </text>
    </comment>
    <comment ref="H538" authorId="3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=(paver4cm+paver6)/2</t>
        </r>
      </text>
    </comment>
    <comment ref="H539" authorId="3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=paver 6cm</t>
        </r>
      </text>
    </comment>
    <comment ref="H540" authorId="2">
      <text>
        <r>
          <rPr>
            <b/>
            <sz val="12"/>
            <color indexed="81"/>
            <rFont val="Tahoma"/>
            <family val="2"/>
          </rPr>
          <t>DER
= PAVER 6CM X 1,05</t>
        </r>
      </text>
    </comment>
    <comment ref="H541" authorId="3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menos colchão</t>
        </r>
        <r>
          <rPr>
            <b/>
            <sz val="12"/>
            <color indexed="81"/>
            <rFont val="Tahoma"/>
            <family val="2"/>
          </rPr>
          <t xml:space="preserve">
</t>
        </r>
      </text>
    </comment>
    <comment ref="H542" authorId="3">
      <text>
        <r>
          <rPr>
            <b/>
            <sz val="14"/>
            <color indexed="81"/>
            <rFont val="Tahoma"/>
            <family val="2"/>
          </rPr>
          <t>DER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=paver 8cm/0,83</t>
        </r>
      </text>
    </comment>
    <comment ref="H543" authorId="2">
      <text>
        <r>
          <rPr>
            <b/>
            <sz val="12"/>
            <color indexed="81"/>
            <rFont val="Tahoma"/>
            <family val="2"/>
          </rPr>
          <t>=paver 10 cm + 10%</t>
        </r>
      </text>
    </comment>
    <comment ref="H544" authorId="2">
      <text>
        <r>
          <rPr>
            <b/>
            <sz val="12"/>
            <color indexed="81"/>
            <rFont val="Tahoma"/>
            <family val="2"/>
          </rPr>
          <t xml:space="preserve">SEIL DEZ 2016  -  berço
</t>
        </r>
      </text>
    </comment>
    <comment ref="H551" authorId="3">
      <text>
        <r>
          <rPr>
            <b/>
            <sz val="14"/>
            <color indexed="81"/>
            <rFont val="Tahoma"/>
            <family val="2"/>
          </rPr>
          <t xml:space="preserve">FAIXA ELEVADA
COMPOR : Caso a Caso : conforme dimensões da Rua
</t>
        </r>
      </text>
    </comment>
    <comment ref="H552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553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554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555" authorId="3">
      <text>
        <r>
          <rPr>
            <b/>
            <sz val="14"/>
            <color indexed="81"/>
            <rFont val="Tahoma"/>
            <family val="2"/>
          </rPr>
          <t>Piso Tátil =  1,89 m2
Área  da Rampa =  7,80 m2
Concreto 11 mpa = 0,39 m3
Brita =                    0,39 m3
Escavação =          0,59 m3
Forma =                  0,00 m2</t>
        </r>
      </text>
    </comment>
    <comment ref="H556" authorId="3">
      <text>
        <r>
          <rPr>
            <b/>
            <sz val="14"/>
            <color indexed="81"/>
            <rFont val="Tahoma"/>
            <family val="2"/>
          </rPr>
          <t>Piso Tátil =  1,35 m2
Área  da Rampa =  7,65 m2
Concreto 11 mpa = 0,38 m3
Brita =                    0,38 m3
Escavação =          0,57 m3
Forma =                  0,00 m2</t>
        </r>
      </text>
    </comment>
    <comment ref="H608" authorId="1">
      <text>
        <r>
          <rPr>
            <b/>
            <sz val="12"/>
            <color indexed="81"/>
            <rFont val="Tahoma"/>
            <family val="2"/>
          </rPr>
          <t>CUSTO DA PLACA (R$/M2) * CONSUMO (0,1964)  + CUSTO DE UM
SUPORTE DE MADEIRA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09" authorId="1">
      <text>
        <r>
          <rPr>
            <b/>
            <sz val="12"/>
            <color indexed="81"/>
            <rFont val="Tahoma"/>
            <family val="2"/>
          </rPr>
          <t>CUSTO DA PLACA (R$/M2) * CONSUMO (0,1219)  + CUSTO DE UM
SUPORTE DE MADEIRA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10" authorId="1">
      <text>
        <r>
          <rPr>
            <b/>
            <sz val="12"/>
            <color indexed="81"/>
            <rFont val="Tahoma"/>
            <family val="2"/>
          </rPr>
          <t>CUSTO DA PLACA (R$/M2) * CONSUMO (0,2160)  + CUSTO DE UM
SUPORTE DE MADEIRA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11" authorId="1">
      <text>
        <r>
          <rPr>
            <b/>
            <sz val="12"/>
            <color indexed="81"/>
            <rFont val="Tahoma"/>
            <family val="2"/>
          </rPr>
          <t>CUSTO DA PLACA (R$/M2) * CONSUMO (0,2025)  + CUSTO DE UM
SUPORTE DE MADEIRA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12" authorId="1">
      <text>
        <r>
          <rPr>
            <b/>
            <sz val="12"/>
            <color indexed="81"/>
            <rFont val="Tahoma"/>
            <family val="2"/>
          </rPr>
          <t>CUSTO DA PLACA (R$/M2) * CONSUMO (0,1964)  + CUSTO DE UM
SUPORTE METÁLICO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13" authorId="1">
      <text>
        <r>
          <rPr>
            <b/>
            <sz val="12"/>
            <color indexed="81"/>
            <rFont val="Tahoma"/>
            <family val="2"/>
          </rPr>
          <t>CUSTO DA PLACA (R$/M2) * CONSUMO (0,1219)  + CUSTO DE UM
SUPORTE METÁLICO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14" authorId="1">
      <text>
        <r>
          <rPr>
            <b/>
            <sz val="12"/>
            <color indexed="81"/>
            <rFont val="Tahoma"/>
            <family val="2"/>
          </rPr>
          <t>CUSTO DA PLACA (R$/M2) * CONSUMO (0,2160)  + CUSTO DE UM
SUPORTE METÁLICO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15" authorId="1">
      <text>
        <r>
          <rPr>
            <b/>
            <sz val="12"/>
            <color indexed="81"/>
            <rFont val="Tahoma"/>
            <family val="2"/>
          </rPr>
          <t>CUSTO DA PLACA (R$/M2) * CONSUMO (0,2025)  + CUSTO DE UM
SUPORTE METÁLICO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50" authorId="0">
      <text>
        <r>
          <rPr>
            <sz val="8"/>
            <color indexed="81"/>
            <rFont val="Segoe UI"/>
            <family val="2"/>
          </rPr>
          <t xml:space="preserve">COPEL:
Compreende a locação de estruturas e estais correspondentes, em ramais que permitam
visadas diretas, respeitando as limitações impostas em função dos vãos mecânicos,
elétricos e bitola do condutor, para a implantação da estrutura.
Estão incluídos a marcação dos pontos de derivação, ângulo aproximado, anotações dos
detalhes da faixa na caderneta, desenho definitivo, e inclusive, as locações previstas na
atividade 703. Inclui ainda todo e qualquer deslocamento de pessoal.
</t>
        </r>
      </text>
    </comment>
    <comment ref="C651" authorId="0">
      <text>
        <r>
          <rPr>
            <b/>
            <sz val="8"/>
            <color indexed="81"/>
            <rFont val="Segoe UI"/>
            <family val="2"/>
          </rPr>
          <t>COPEL:
Consiste na determinação com uso de teodolito e balizas, do ponto exato no terreno, onde
será instalada a estrutura projetada, identificados através de piquetes e estacas conforme
modelo COPEL.
Toda locação que coincida com o piquete da topografia, não deve ser paga</t>
        </r>
      </text>
    </comment>
    <comment ref="C652" authorId="0">
      <text>
        <r>
          <rPr>
            <b/>
            <sz val="8"/>
            <color indexed="81"/>
            <rFont val="Segoe UI"/>
            <family val="2"/>
          </rPr>
          <t>COPEL:
Consiste na determinação com uso de balizas e excepcionalmente teodolito, do ponto
exato no terreno onde será instalada a estrutura projetada, (extensão, intercalação ou
deslocamento).
Esta atividade não deve ser considerada quando da substituição de poste que ocupe o
mesmo local do poste a ser substituído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C653" authorId="0">
      <text>
        <r>
          <rPr>
            <b/>
            <sz val="8"/>
            <color indexed="81"/>
            <rFont val="Segoe UI"/>
            <family val="2"/>
          </rPr>
          <t>COPEL:
Consiste na escavação necessária, prumagem, alinhamento e apiloamento de estrutura
montada existente, sem desconectar as ligações, amarrações e/ou retirar equipamentos.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C654" authorId="0">
      <text>
        <r>
          <rPr>
            <b/>
            <sz val="8"/>
            <color indexed="81"/>
            <rFont val="Segoe UI"/>
            <family val="2"/>
          </rPr>
          <t>COPEL:
Compreende o deslocamento de estrutura equipada existente em até 0,30 metros do seu
ponto original, para efetuar a relocação, alinhamento, virada ou a altura de engastamento
fora de padrão, incluindo a escavação complementar, prumagem e apiloamento do poste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C655" authorId="0">
      <text>
        <r>
          <rPr>
            <b/>
            <sz val="8"/>
            <color indexed="81"/>
            <rFont val="Segoe UI"/>
            <family val="2"/>
          </rPr>
          <t xml:space="preserve">COPEL:
Consiste no levantamento, prumagem e apiloamento de poste auxiliar para entrada de
serviço da unidade consumidora, incluindo a distribuição no local de aplicação. 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C657" authorId="0">
      <text>
        <r>
          <rPr>
            <b/>
            <sz val="8"/>
            <color indexed="81"/>
            <rFont val="Segoe UI"/>
            <family val="2"/>
          </rPr>
          <t xml:space="preserve">COPEL:
Consiste no levantamento, prumagem, alinhamento e apiloamento de postes até 12 metros de altura e resistência nominal até 1000 daN, incluindo a distribuição do local onde se acha
depositado até o ponto de aplicação. </t>
        </r>
      </text>
    </comment>
    <comment ref="C659" authorId="0">
      <text>
        <r>
          <rPr>
            <b/>
            <sz val="8"/>
            <color indexed="81"/>
            <rFont val="Segoe UI"/>
            <family val="2"/>
          </rPr>
          <t>COPEL:
Consiste no levantamento, prumagem, alinhamento e apiloamento de postes até 12 metros
de altura e resistência nominal acima 1000 daN, incluindo a distribuição do local onde se
acha depositado até ao ponto de aplicação. 
Nesta atividade já está considerado a utilização de veículo equipado com guindauto
especial.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C661" authorId="0">
      <text>
        <r>
          <rPr>
            <b/>
            <sz val="8"/>
            <color indexed="81"/>
            <rFont val="Segoe UI"/>
            <family val="2"/>
          </rPr>
          <t>COPEL:
Consiste no levantamento, prumagem, alinhamento e apiloamento de postes entre 13 a 15
metros de altura, incluindo a distribuição do local onde se acha depositado até ao ponto de
aplicação. 
Nesta atividade já está considerado a utilização de veículo equipado com guindauto
especial.</t>
        </r>
      </text>
    </comment>
    <comment ref="C663" authorId="0">
      <text>
        <r>
          <rPr>
            <b/>
            <sz val="8"/>
            <color indexed="81"/>
            <rFont val="Segoe UI"/>
            <family val="2"/>
          </rPr>
          <t>COPEL:
Consiste no levantamento, prumagem, alinhamento e apiloamento de postes de 15 a 18
metros de 
Nesta atividade já está considerado a utilização de veículo equipado com guindauto
especial.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C665" authorId="0">
      <text>
        <r>
          <rPr>
            <b/>
            <sz val="8"/>
            <color indexed="81"/>
            <rFont val="Segoe UI"/>
            <family val="2"/>
          </rPr>
          <t>COPEL:
Consiste no levantamento, prumagem, alinhamento e apiloamento de postes acima de 18
metros de altura, incluindo a distribuição do local onde se acha depositado até ao ponto de
aplicação. Nesta atividade já está considerado a utilização de veículo equipado com guindauto
especial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C667" authorId="0">
      <text>
        <r>
          <rPr>
            <b/>
            <sz val="8"/>
            <color indexed="81"/>
            <rFont val="Segoe UI"/>
            <family val="2"/>
          </rPr>
          <t>COPEL:
Compreende os seguintes serviços:
- preparação do material (poste de madeira, concreto ou trilho)
- abertura da cava
- levantamento e apiloamento do elemento protetor (pedaço de poste)
- fornecimento da tinta
- pintura das faixas nas cores amarela e preta</t>
        </r>
      </text>
    </comment>
    <comment ref="C669" authorId="0">
      <text>
        <r>
          <rPr>
            <b/>
            <sz val="8"/>
            <color indexed="81"/>
            <rFont val="Segoe UI"/>
            <family val="2"/>
          </rPr>
          <t>COPEL:
Consiste na instalação de tubo de concreto simples, separado em duas partes, em torno
do poste, conforme procedimentos definidos na Recomendação Técnica nº 006 - Defensa
de Poste. Esta atividade inclui ainda o fornecimento de todos os materiais necessários, seu
transporte até o local de instalação e pintura da defensa.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C671" authorId="0">
      <text>
        <r>
          <rPr>
            <b/>
            <sz val="8"/>
            <color indexed="81"/>
            <rFont val="Segoe UI"/>
            <family val="2"/>
          </rPr>
          <t>COPEL: ESTRUTURAS PRIMÁRIAS
Compreende a montagem, instalação e fixação da cadeia de isoladores de disco e olhal na
cruzeta ou no poste. Esta atividade também remunera, quando se tratar de acréscimo ou substituição de isolador(es) na cadeia existente.</t>
        </r>
      </text>
    </comment>
    <comment ref="C673" authorId="0">
      <text>
        <r>
          <rPr>
            <b/>
            <sz val="8"/>
            <color indexed="81"/>
            <rFont val="Segoe UI"/>
            <family val="2"/>
          </rPr>
          <t>COPEL: ESTRUTURAS PRIMÁRIAS
Consiste na instalação de cruzeta simples de madeira, concreto ou aço sem isoladores,
independente do comprimento.
Nesta atividade paga-se também o deslocamento na própria estrutura, de cruzeta simples
de qualquer tipo, independente do comprimento, para melhoria de redes, cotas de
afastamento, cruzamento aéreos ou virada do poste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C675" authorId="0">
      <text>
        <r>
          <rPr>
            <b/>
            <sz val="8"/>
            <color indexed="81"/>
            <rFont val="Segoe UI"/>
            <family val="2"/>
          </rPr>
          <t>COPEL: ESTRUTURAS PRIMÁRIAS
Compreende a instalação de cruzeta dupla de madeira, concreto ou aço sem isoladores,
independente do comprimento.</t>
        </r>
      </text>
    </comment>
    <comment ref="C677" authorId="0">
      <text>
        <r>
          <rPr>
            <b/>
            <sz val="8"/>
            <color indexed="81"/>
            <rFont val="Segoe UI"/>
            <family val="2"/>
          </rPr>
          <t>COPEL: ESTRUTURAS PRIMÁRIAS
Compreende a reinstalação no mesmo poste de cruzeta dupla de madeira, concreto ou
aço, independente do comprimento, para melhoria de rede, cotas de afastamento,
cruzamento aéreo ou virada do poste.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C678" authorId="0">
      <text>
        <r>
          <rPr>
            <b/>
            <sz val="8"/>
            <color indexed="81"/>
            <rFont val="Segoe UI"/>
            <family val="2"/>
          </rPr>
          <t>COPEL: ESTRUTURAS PRIMÁRIAS
Compreende a instalação do isolador no pino</t>
        </r>
      </text>
    </comment>
    <comment ref="C680" authorId="0">
      <text>
        <r>
          <rPr>
            <b/>
            <sz val="8"/>
            <color indexed="81"/>
            <rFont val="Segoe UI"/>
            <family val="2"/>
          </rPr>
          <t>COPEL: ESTRUTURAS PRIMÁRIAS
Consiste na instalação do suporte T, para fixação de chaves ou pára-raios de distribuição</t>
        </r>
      </text>
    </comment>
    <comment ref="C682" authorId="0">
      <text>
        <r>
          <rPr>
            <b/>
            <sz val="8"/>
            <color indexed="81"/>
            <rFont val="Segoe UI"/>
            <family val="2"/>
          </rPr>
          <t>COPEL: ESTRUTURAS PRIMÁRIAS
Consiste na instalação do suporte ou afastador para isolador pilar.</t>
        </r>
      </text>
    </comment>
    <comment ref="C684" authorId="0">
      <text>
        <r>
          <rPr>
            <b/>
            <sz val="8"/>
            <color indexed="81"/>
            <rFont val="Segoe UI"/>
            <family val="2"/>
          </rPr>
          <t>COPEL: ESTRUTURAS SECUNDÁRIAS
Compreende a instalação do suporte em cruzeta para fixação da luminária, armação
secundária e medição centralizada.</t>
        </r>
      </text>
    </comment>
    <comment ref="C686" authorId="0">
      <text>
        <r>
          <rPr>
            <b/>
            <sz val="8"/>
            <color indexed="81"/>
            <rFont val="Segoe UI"/>
            <family val="2"/>
          </rPr>
          <t>COPEL: ESTRUTURAS SECUNDÁRIAS
Compreende a instalação do afastador de rede secundária, para atender a cota mínima de segurança.</t>
        </r>
      </text>
    </comment>
    <comment ref="C688" authorId="0">
      <text>
        <r>
          <rPr>
            <b/>
            <sz val="8"/>
            <color indexed="81"/>
            <rFont val="Segoe UI"/>
            <family val="2"/>
          </rPr>
          <t>COPEL: ESTRUTURAS SECUNDÁRIAS
Compreende a instalação da armação secundária com 1 (um) estribo ou parafuso olhal.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C690" authorId="0">
      <text>
        <r>
          <rPr>
            <b/>
            <sz val="8"/>
            <color indexed="81"/>
            <rFont val="Segoe UI"/>
            <family val="2"/>
          </rPr>
          <t>COPEL: ESTRUTURAS SECUNDÁRIAS
Compreende a instalação da armação secundária com mais de 1 (um) estribo.</t>
        </r>
      </text>
    </comment>
    <comment ref="C692" authorId="0">
      <text>
        <r>
          <rPr>
            <b/>
            <sz val="8"/>
            <color indexed="81"/>
            <rFont val="Segoe UI"/>
            <family val="2"/>
          </rPr>
          <t>COPEL: ESTRUTURAS SECUNDÁRIAS
Consiste no deslocamento ou reinstalação da armação secundária com mais de 1 (um)
estribo, inclusive a mudança da face do poste.</t>
        </r>
      </text>
    </comment>
    <comment ref="C693" authorId="0">
      <text>
        <r>
          <rPr>
            <b/>
            <sz val="8"/>
            <color indexed="81"/>
            <rFont val="Segoe UI"/>
            <family val="2"/>
          </rPr>
          <t>COPEL: ESTAIS E ANCORAGEM
Consiste no corte de poste de concreto, para aproveitamento como escora de subsolo,
incluindo o transporte até ao local de aplicação.</t>
        </r>
      </text>
    </comment>
    <comment ref="C694" authorId="0">
      <text>
        <r>
          <rPr>
            <b/>
            <sz val="8"/>
            <color indexed="81"/>
            <rFont val="Segoe UI"/>
            <family val="2"/>
          </rPr>
          <t>COPEL: ESTAIS E ANCORAGEM
Consiste na abertura complementar da cava, a instalação de placa de concreto ou pedaço
de poste de concreto, com 1,00 metro, para escora simples (superfície) de poste ou
contraposte, incluindo o apiloamento e fechamento da cava.</t>
        </r>
      </text>
    </comment>
    <comment ref="C695" authorId="0">
      <text>
        <r>
          <rPr>
            <b/>
            <sz val="8"/>
            <color indexed="81"/>
            <rFont val="Segoe UI"/>
            <family val="2"/>
          </rPr>
          <t>COPEL: ESTAIS E ANCORAGEM
Consiste na abertura complementar da cava, na instalação de placa de concreto armado
ou pedaço de poste de concreto, com 1 (um) metro, para escora dupla, (fundo e
superfície), em poste ou contraposte, incluindo o apiloamento e fechamento da cava.</t>
        </r>
      </text>
    </comment>
    <comment ref="C696" authorId="0">
      <text>
        <r>
          <rPr>
            <b/>
            <sz val="8"/>
            <color indexed="81"/>
            <rFont val="Segoe UI"/>
            <family val="2"/>
          </rPr>
          <t>COPEL: ESTAIS E ANCORAGEM
Consiste na instalação de haste de âncora e placa de concreto armado, em cava já aberta,
incluindo a fixação do cabo de aço simples ou reforçado, para alta ou baixa tensão.
Quando se tratar de estais em primário e secundário ou para manter o equilíbrio mecânico
da cruzeta, que aproveita a mesma haste de âncora, um dos estais deve ser considerado
como estai de poste a poste. A retirada compreende a retirada do cabo de aço e
acessórios de fixação, o corte da haste de âncora a 0,60 metros de profundidade.</t>
        </r>
      </text>
    </comment>
    <comment ref="C698" authorId="0">
      <text>
        <r>
          <rPr>
            <b/>
            <sz val="8"/>
            <color indexed="81"/>
            <rFont val="Segoe UI"/>
            <family val="2"/>
          </rPr>
          <t>COPEL: ESTAIS E ANCORAGEM
Consiste na instalação do estai de contraposte simples para alta ou baixa tensão.
Quando se tratar de estais de alta e baixa tensão simultaneamente no mesmo contraposte,
um dos estais deve ser considerado como estai poste a poste.
*A retirada compreende a retirada de cabo de aço, acessórios de fixação e contraposte, e
o fechamento da cava e limpeza do local.</t>
        </r>
      </text>
    </comment>
    <comment ref="C700" authorId="0">
      <text>
        <r>
          <rPr>
            <b/>
            <sz val="8"/>
            <color indexed="81"/>
            <rFont val="Segoe UI"/>
            <family val="2"/>
          </rPr>
          <t>COPEL: ESTAIS E ANCORAGEM
Consiste na instalação do estai de poste a poste, para alta ou baixa tensão.</t>
        </r>
      </text>
    </comment>
    <comment ref="C702" authorId="0">
      <text>
        <r>
          <rPr>
            <b/>
            <sz val="8"/>
            <color indexed="81"/>
            <rFont val="Segoe UI"/>
            <family val="2"/>
          </rPr>
          <t>COPEL: ESTAIS E ANCORAGEM
Consiste na instalação e retirada de estai provisório durante o lançamento e tensionamento de cabos.</t>
        </r>
      </text>
    </comment>
    <comment ref="C703" authorId="0">
      <text>
        <r>
          <rPr>
            <b/>
            <sz val="8"/>
            <color indexed="81"/>
            <rFont val="Segoe UI"/>
            <family val="2"/>
          </rPr>
          <t>COPEL: ESTAIS E ANCORAGEM
Compreende a perfuração da rocha, utilizando compressor, martelete, na profundidade e
diâmetro estabelecidos, para fixação de haste de âncora com parafuso, envolvidos em
nata de cimento e areia com traço 1:1,5 respectivamente. Inclui o fornecimento de cimento e areia pela empreiteira. A desmontagem consiste na retirada do estai e corte de haste de âncora ao nível do solo.</t>
        </r>
      </text>
    </comment>
    <comment ref="C705" authorId="0">
      <text>
        <r>
          <rPr>
            <b/>
            <sz val="8"/>
            <color indexed="81"/>
            <rFont val="Segoe UI"/>
            <family val="2"/>
          </rPr>
          <t>COPEL: ESTAIS E ANCORAGEM
Consiste no retensionamento de cabo de aço em estai de âncora, contraposte ou poste a poste, simples ou reforçado, existente.</t>
        </r>
      </text>
    </comment>
    <comment ref="C706" authorId="0">
      <text>
        <r>
          <rPr>
            <b/>
            <sz val="8"/>
            <color indexed="81"/>
            <rFont val="Segoe UI"/>
            <family val="2"/>
          </rPr>
          <t>COPEL: ESTAIS E ANCORAGEM
Consiste na instalação do dispositivo para segurança no estai de âncora</t>
        </r>
      </text>
    </comment>
    <comment ref="C708" authorId="0">
      <text>
        <r>
          <rPr>
            <b/>
            <sz val="8"/>
            <color indexed="81"/>
            <rFont val="Segoe UI"/>
            <family val="2"/>
          </rPr>
          <t>COPEL: ESTAIS E ANCORAGEM
Compreende a preparação e execução de sapata de concreto, com traço 1:3:5 (cimento,
areia e pedra) em cava já aberta, para fixação do poste ou estai de âncora em terrenos
inconsistentes, nos padrões exigidos, incluindo o fornecimento do material pela
empreiteira.</t>
        </r>
      </text>
    </comment>
    <comment ref="C709" authorId="0">
      <text>
        <r>
          <rPr>
            <b/>
            <sz val="8"/>
            <color indexed="81"/>
            <rFont val="Segoe UI"/>
            <family val="2"/>
          </rPr>
          <t>COPEL: ESTAIS E ANCORAGEM</t>
        </r>
        <r>
          <rPr>
            <sz val="8"/>
            <color indexed="81"/>
            <rFont val="Segoe UI"/>
            <family val="2"/>
          </rPr>
          <t xml:space="preserve">
*A retirada de concreto do poste deve ser feita sem danificá-lo e, quanto a âncora de estai,
cortá-la a 0,60 metros de profundidade. Inclui a escavação, fechamento da cava e limpeza
do local.</t>
        </r>
      </text>
    </comment>
    <comment ref="C710" authorId="0">
      <text>
        <r>
          <rPr>
            <b/>
            <sz val="8"/>
            <color indexed="81"/>
            <rFont val="Segoe UI"/>
            <family val="2"/>
          </rPr>
          <t>COPEL: ESTAIS E ANCORAGEM
Compreende a instalação do sinalizador de estai de âncora para melhorar a visualização
do esta</t>
        </r>
      </text>
    </comment>
    <comment ref="C712" authorId="0">
      <text>
        <r>
          <rPr>
            <b/>
            <sz val="8"/>
            <color indexed="81"/>
            <rFont val="Segoe UI"/>
            <family val="2"/>
          </rPr>
          <t>COPEL: LANÇAMENTO E TRACIONAMENTO DE CABOS DA PRIMÁRIA
Consiste no lançamento, tensionamento, regulagem e encabeçamento do cabo.</t>
        </r>
      </text>
    </comment>
    <comment ref="C714" authorId="0">
      <text>
        <r>
          <rPr>
            <b/>
            <sz val="8"/>
            <color indexed="81"/>
            <rFont val="Segoe UI"/>
            <family val="2"/>
          </rPr>
          <t>COPEL: LANÇAMENTO E TRACIONAMENTO DE CABOS DA PRIMÁRIA
Consiste no lançamento, tensionamento, regulagem e encabeçamento do cabo.</t>
        </r>
      </text>
    </comment>
    <comment ref="C716" authorId="0">
      <text>
        <r>
          <rPr>
            <b/>
            <sz val="8"/>
            <color indexed="81"/>
            <rFont val="Segoe UI"/>
            <family val="2"/>
          </rPr>
          <t>COPEL: LANÇAMENTO E TRACIONAMENTO DE CABOS DA PRIMÁRIA
Consiste no lançamento, tensionamento, regulagem e encabeçamento do cabo</t>
        </r>
      </text>
    </comment>
    <comment ref="C718" authorId="0">
      <text>
        <r>
          <rPr>
            <b/>
            <sz val="8"/>
            <color indexed="81"/>
            <rFont val="Segoe UI"/>
            <family val="2"/>
          </rPr>
          <t>COPEL: LANÇAMENTO E TRACIONAMENTO DE CABOS DA PRIMÁRIA
Consiste no lançamento, tensionamento, regulagem e encabeçamento do cabo</t>
        </r>
      </text>
    </comment>
    <comment ref="C720" authorId="0">
      <text>
        <r>
          <rPr>
            <b/>
            <sz val="8"/>
            <color indexed="81"/>
            <rFont val="Segoe UI"/>
            <family val="2"/>
          </rPr>
          <t>COPEL: LANÇAMENTO E TRACIONAMENTO DE CABOS DA PRIMÁRIA
Consiste no lançamento, tensionamento, regulagem e encabeçamento do cabo</t>
        </r>
      </text>
    </comment>
    <comment ref="C722" authorId="0">
      <text>
        <r>
          <rPr>
            <b/>
            <sz val="8"/>
            <color indexed="81"/>
            <rFont val="Segoe UI"/>
            <family val="2"/>
          </rPr>
          <t xml:space="preserve">COPEL: LANÇAMENTO E TRACIONAMENTO DE CABOS DA PRIMÁRIA
Consiste no lançamento, tensionamento, regulagem e encabeçamento do cabo.
</t>
        </r>
      </text>
    </comment>
    <comment ref="C724" authorId="0">
      <text>
        <r>
          <rPr>
            <b/>
            <sz val="8"/>
            <color indexed="81"/>
            <rFont val="Segoe UI"/>
            <family val="2"/>
          </rPr>
          <t>COPEL: LANÇAMENTO E TRACIONAMENTO DE CABOS DA PRIMÁRIA
Consiste no lançamento, tensionamento, regulagem e encabeçamento do cabo.</t>
        </r>
      </text>
    </comment>
    <comment ref="C726" authorId="0">
      <text>
        <r>
          <rPr>
            <b/>
            <sz val="8"/>
            <color indexed="81"/>
            <rFont val="Segoe UI"/>
            <family val="2"/>
          </rPr>
          <t>COPEL: LANÇAMENTO E TRACIONAMENTO DE CABOS DA PRIMÁRIA
Consiste no lançamento, tensionamento, regulagem e encabeçamento do cabo.</t>
        </r>
      </text>
    </comment>
    <comment ref="C728" authorId="0">
      <text>
        <r>
          <rPr>
            <b/>
            <sz val="8"/>
            <color indexed="81"/>
            <rFont val="Segoe UI"/>
            <family val="2"/>
          </rPr>
          <t>COPEL: LANÇAMENTO E TRACIONAMENTO DE CABOS DA PRIMÁRIA
Compreende o lançamento de cabo em eletroduto subterrâneo ou em descida de poste,
para atendimento de alta tensão, independente do número de fases, incluindo as conexões, exceto ligação à rede.</t>
        </r>
      </text>
    </comment>
    <comment ref="C730" authorId="0">
      <text>
        <r>
          <rPr>
            <b/>
            <sz val="8"/>
            <color indexed="81"/>
            <rFont val="Segoe UI"/>
            <family val="2"/>
          </rPr>
          <t>COPEL: LANÇAMENTO E TRACIONAMENTO DE CABOS DA PRIMÁRIA
Compreende o retensionamento e regulagem de cabos em alta tensão, por cabo,
independente do tipo e bitola. A desamarração, amarração, emenda, cruzamento aéreo e jumpers, devem ser pagos separadamente</t>
        </r>
      </text>
    </comment>
    <comment ref="C731" authorId="0">
      <text>
        <r>
          <rPr>
            <b/>
            <sz val="8"/>
            <color indexed="81"/>
            <rFont val="Segoe UI"/>
            <family val="2"/>
          </rPr>
          <t xml:space="preserve">COPEL: LANÇAMENTO E TRACIONAMENTO DE CABOS DA PRIMÁRIA
Consiste na instalação da canaleta de proteção do cabo em redes de distribuição aérea,
independente da bitola do cabo.
</t>
        </r>
      </text>
    </comment>
    <comment ref="C733" authorId="0">
      <text>
        <r>
          <rPr>
            <b/>
            <sz val="8"/>
            <color indexed="81"/>
            <rFont val="Segoe UI"/>
            <family val="2"/>
          </rPr>
          <t>COPEL: LANÇAMENTO E TRACIONAMENTO DE CABOS DA PRIMÁRIA
Compreende a instalação de eletroduto rígido ou flexível e fita de alerta para eletroduto
subterrâneo, em vala já aberta, para atendimento em redes de alta tensão ou baixa tensão.</t>
        </r>
      </text>
    </comment>
    <comment ref="C735" authorId="0">
      <text>
        <r>
          <rPr>
            <b/>
            <sz val="8"/>
            <color indexed="81"/>
            <rFont val="Segoe UI"/>
            <family val="2"/>
          </rPr>
          <t>COPEL: LANÇAMENTO E TRACIONAMENTO DE CABOS DA PRIMÁRIA
Compreende a instalação da esfera de sinalização em cabo, para a identificação visual da rede.</t>
        </r>
      </text>
    </comment>
    <comment ref="C737" authorId="0">
      <text>
        <r>
          <rPr>
            <b/>
            <sz val="8"/>
            <color indexed="81"/>
            <rFont val="Segoe UI"/>
            <family val="2"/>
          </rPr>
          <t>COPEL: LANÇAMENTO E TRACIONAMENTO DE CABOS DA SECUNDÁRIA
Consiste no lançamento, tensionamento, regulagem e encabeçamento do cabo</t>
        </r>
      </text>
    </comment>
    <comment ref="C739" authorId="0">
      <text>
        <r>
          <rPr>
            <b/>
            <sz val="8"/>
            <color indexed="81"/>
            <rFont val="Segoe UI"/>
            <family val="2"/>
          </rPr>
          <t>COPEL: LANÇAMENTO E TRACIONAMENTO DE CABOS DA SECUNDÁRIA
Consiste no lançamento, tensionamento, regulagem e encabeçamento do cabo</t>
        </r>
      </text>
    </comment>
    <comment ref="C741" authorId="0">
      <text>
        <r>
          <rPr>
            <b/>
            <sz val="8"/>
            <color indexed="81"/>
            <rFont val="Segoe UI"/>
            <family val="2"/>
          </rPr>
          <t xml:space="preserve">COPEL: LANÇAMENTO E TRACIONAMENTO DE CABOS DA SECUNDÁRIA
Consiste no lançamento, tensionamento, regulagem e encabeçamento do cabo.
</t>
        </r>
      </text>
    </comment>
    <comment ref="C743" authorId="0">
      <text>
        <r>
          <rPr>
            <b/>
            <sz val="8"/>
            <color indexed="81"/>
            <rFont val="Segoe UI"/>
            <family val="2"/>
          </rPr>
          <t>COPEL: LANÇAMENTO E TRACIONAMENTO DE CABOS DA SECUNDÁRIA
Consiste no lançamento, tensionamento, regulagem e encabeçamento do cabo.</t>
        </r>
      </text>
    </comment>
    <comment ref="C745" authorId="0">
      <text>
        <r>
          <rPr>
            <b/>
            <sz val="8"/>
            <color indexed="81"/>
            <rFont val="Segoe UI"/>
            <family val="2"/>
          </rPr>
          <t>COPEL: LANÇAMENTO E TRACIONAMENTO DE CABOS DA SECUNDÁRIA
Compreende o lançamento de cabo em eletroduto subterrâneo ou descida de poste, para
atendimento em baixa tensão (BT), independente do número de fases, incluindo as
conexões, exceto ligação à rede.</t>
        </r>
      </text>
    </comment>
    <comment ref="C747" authorId="0">
      <text>
        <r>
          <rPr>
            <b/>
            <sz val="8"/>
            <color indexed="81"/>
            <rFont val="Segoe UI"/>
            <family val="2"/>
          </rPr>
          <t>COPEL: LANÇAMENTO E TRACIONAMENTO DE CABOS DA SECUNDÁRIA
Compreende a aplicação de espaçador em vão de baixa tensão, para assegurar a
distância mínima entre fases.</t>
        </r>
      </text>
    </comment>
    <comment ref="C749" authorId="0">
      <text>
        <r>
          <rPr>
            <b/>
            <sz val="8"/>
            <color indexed="81"/>
            <rFont val="Segoe UI"/>
            <family val="2"/>
          </rPr>
          <t>COPEL: LANÇAMENTO E TRACIONAMENTO DE CABOS DA SECUNDÁRIA
Compreende o retensionamento e regulagem de cabos em baixa tensão, por cabo,
independente do tipo e bitola. A desamarração, amarração, emenda, cruzamento aéreo e
jumpers, devem ser pagos separadamente.</t>
        </r>
      </text>
    </comment>
    <comment ref="C750" authorId="0">
      <text>
        <r>
          <rPr>
            <b/>
            <sz val="8"/>
            <color indexed="81"/>
            <rFont val="Segoe UI"/>
            <family val="2"/>
          </rPr>
          <t>COPEL: ATERRAMENTOS E SECCIONAMENTGOS
Compreende a instalação do fio de aço-cobre em posto de transformador monofásico ou
trifásico na tensão 33 kV, para atuar como descida suplementar de proteção. Estão incluídos a instalação do eletroduto de PVC no poste e a solda exotérmica necessária.</t>
        </r>
      </text>
    </comment>
    <comment ref="C752" authorId="0">
      <text>
        <r>
          <rPr>
            <b/>
            <sz val="8"/>
            <color indexed="81"/>
            <rFont val="Segoe UI"/>
            <family val="2"/>
          </rPr>
          <t>COPEL: ATERRAMENTOS E SECCIONAMENTGOS
Consiste na realização do teste de ausência de tensão, instalação de
aterramento temporário de rede de BT.</t>
        </r>
      </text>
    </comment>
    <comment ref="C753" authorId="0">
      <text>
        <r>
          <rPr>
            <b/>
            <sz val="8"/>
            <color indexed="81"/>
            <rFont val="Segoe UI"/>
            <family val="2"/>
          </rPr>
          <t>COPEL: ATERRAMENTOS E SECCIONAMENTGOS
Consiste na realização do teste de ausência de tensão, fixação e retirada do trado no solo,
instalação e retirada do conjunto de aterramento temporário de rede de AT.</t>
        </r>
      </text>
    </comment>
    <comment ref="C754" authorId="0">
      <text>
        <r>
          <rPr>
            <b/>
            <sz val="8"/>
            <color indexed="81"/>
            <rFont val="Segoe UI"/>
            <family val="2"/>
          </rPr>
          <t>COPEL: ATERRAMENTOS E SECCIONAMENTGOS
Compreende a aplicação do fio de aço-cobre, conexão aos equipamentos, escavação complementar, cravação da haste no solo, execução de solda exotérmica, a medição de resistência do aterramento e fechamento da cava.
Inclui a aplicação do eletroduto de PVC no poste quando necessário. Nesta atividade paga-se também a realização do serviço de fiscalização por amostragem dos aterramentos de AT, a razão de 60% da U.S.</t>
        </r>
      </text>
    </comment>
    <comment ref="C755" authorId="0">
      <text>
        <r>
          <rPr>
            <b/>
            <sz val="8"/>
            <color indexed="81"/>
            <rFont val="Segoe UI"/>
            <family val="2"/>
          </rPr>
          <t>COPEL: ATERRAMENTOS E SECCIONAMENTGOS
Consiste na cravação da haste de aço-cobre no solo, solda exotérmica necessária,
Medição da resistência do aterramento e fechamento da cava. Nesta atividade paga-se também o 
aterramento da entrada de serviço de consumidor, inclusive a conexão na carcaça.</t>
        </r>
      </text>
    </comment>
    <comment ref="C756" authorId="0">
      <text>
        <r>
          <rPr>
            <b/>
            <sz val="8"/>
            <color indexed="81"/>
            <rFont val="Segoe UI"/>
            <family val="2"/>
          </rPr>
          <t>COPEL: ATERRAMENTOS E SECCIONAMENTGOS
Compreende a cravação da haste de aço-cobre, execução da solda, medição da
resistência de aterramento e fechamento da cava.</t>
        </r>
      </text>
    </comment>
    <comment ref="C757" authorId="0">
      <text>
        <r>
          <rPr>
            <b/>
            <sz val="8"/>
            <color indexed="81"/>
            <rFont val="Segoe UI"/>
            <family val="2"/>
          </rPr>
          <t>COPEL: ATERRAMENTOS E SECCIONAMENTGOS
Consiste na cravação da haste zincada no solo, a interligação dos fios da cerca, através de
arame, sua fixação no mourão com grampos U para madeira e a conexão na haste de aterramento cravada.</t>
        </r>
      </text>
    </comment>
    <comment ref="C758" authorId="0">
      <text>
        <r>
          <rPr>
            <b/>
            <sz val="8"/>
            <color indexed="81"/>
            <rFont val="Segoe UI"/>
            <family val="2"/>
          </rPr>
          <t>COPEL: ATERRAMENTOS E SECCIONAMENTGOS
Compreende a abertura de valeta de 0,60 metro de profundidade mínima, exceto em
rocha, incluindo o lançamento do fio de aço-cobre e fechamento da valeta.</t>
        </r>
      </text>
    </comment>
    <comment ref="C759" authorId="0">
      <text>
        <r>
          <rPr>
            <b/>
            <sz val="8"/>
            <color indexed="81"/>
            <rFont val="Segoe UI"/>
            <family val="2"/>
          </rPr>
          <t>COPEL: ATERRAMENTOS E SECCIONAMENTGOS
Consiste na aplicação do produto químico para tratamento do solo, afim de reduzir o valor
da sua resistividade. Estão incluídos os serviços de preparação da cava, utilização de água
até encharcar o solo em torno da haste, aplicação de produto na cava com a mistura de
terra até formação da pasta e a compactação do solo.
Inclui o transporte de todo o material necessário.</t>
        </r>
      </text>
    </comment>
    <comment ref="C760" authorId="0">
      <text>
        <r>
          <rPr>
            <b/>
            <sz val="8"/>
            <color indexed="81"/>
            <rFont val="Segoe UI"/>
            <family val="2"/>
          </rPr>
          <t>COPEL: ATERRAMENTOS E SECCIONAMENTGOS
Compreende a preparação do equipamento, a análise de riscos, o teste de ausência de
tensão, a instalação do trado no solo, a instalação da sela no poste, e as conexões do
aterramento à rede elétrica. Consiste ainda a retirada e acondicionamento do
equipamento. Este item deve ser pago por estrutura onde houver instalação do
aterramento, independente da quantidade de eletricistas que escalar a estrutura</t>
        </r>
      </text>
    </comment>
    <comment ref="C761" authorId="0">
      <text>
        <r>
          <rPr>
            <b/>
            <sz val="8"/>
            <color indexed="81"/>
            <rFont val="Segoe UI"/>
            <family val="2"/>
          </rPr>
          <t>COPEL: ATERRAMENTOS E SECCIONAMENTGOS
Compreende a aplicação do seccionador preformado para aterramento de cerca, em
qualquer tipo de fio e o acabamento de modo a interrompê-lo fisicamente.</t>
        </r>
      </text>
    </comment>
    <comment ref="C763" authorId="0">
      <text>
        <r>
          <rPr>
            <b/>
            <sz val="8"/>
            <color indexed="81"/>
            <rFont val="Segoe UI"/>
            <family val="2"/>
          </rPr>
          <t>COPEL: ILUMINAÇÃO PÚBLICA
Compreende a instalação de base para relé de iluminação pública de comando em grupo
ou individual e as conexões necessárias, exceto ligação à rede.</t>
        </r>
      </text>
    </comment>
    <comment ref="C765" authorId="0">
      <text>
        <r>
          <rPr>
            <b/>
            <sz val="8"/>
            <color indexed="81"/>
            <rFont val="Segoe UI"/>
            <family val="2"/>
          </rPr>
          <t>COPEL: ILUMINAÇÃO PÚBLICA
Compreende a instalação de braço de iluminação pública de até 2 metros de comprimento,
com luminária aberta ou fechada com lâmpada mista, incandescente, vapor de mercúrio
(VMC) ou vapor de sódio (VSA), incluindo a aplicação do fio no braço e as conexões
necessárias, exceto ligação à rede.</t>
        </r>
      </text>
    </comment>
    <comment ref="C767" authorId="0">
      <text>
        <r>
          <rPr>
            <b/>
            <sz val="8"/>
            <color indexed="81"/>
            <rFont val="Segoe UI"/>
            <family val="2"/>
          </rPr>
          <t>COPEL: ILUMINAÇÃO PÚBLICA
Compreende a instalação de braço para iluminação pública acima de 2 metros de
comprimento, com luminária aberta ou fechada com lâmpada mista, incandescente, vapor
de mercúrio (VMC) ou vapor de sódio (VSA), incluindo a aplicação do fio no braço e as
conexões necessárias, exceto ligação à rede.</t>
        </r>
      </text>
    </comment>
    <comment ref="C769" authorId="0">
      <text>
        <r>
          <rPr>
            <b/>
            <sz val="8"/>
            <color indexed="81"/>
            <rFont val="Segoe UI"/>
            <family val="2"/>
          </rPr>
          <t>COPEL: COPEL: ILUMINAÇÃO PÚBLICA
Consiste no deslocamento da luminária montada, independente do tipo, para respeitar a
cota de afastamento ou possibilitar um melhor padrão de iluminação da área, exceto
ligação à rede.</t>
        </r>
      </text>
    </comment>
    <comment ref="C770" authorId="0">
      <text>
        <r>
          <rPr>
            <b/>
            <sz val="8"/>
            <color indexed="81"/>
            <rFont val="Segoe UI"/>
            <family val="2"/>
          </rPr>
          <t>COPEL: ILUMINAÇÃO PÚBLICA
Compreende a instalação de luminária e lâmpada, em braço já instalado de iluminação
pública, independente do tipo de luminária, incluindo as conexões necessárias, exceto
ligação à rede.</t>
        </r>
      </text>
    </comment>
    <comment ref="C772" authorId="0">
      <text>
        <r>
          <rPr>
            <b/>
            <sz val="8"/>
            <color indexed="81"/>
            <rFont val="Segoe UI"/>
            <family val="2"/>
          </rPr>
          <t>COPEL: ILUMINAÇÃO PÚBLICA
Compreende a instalação da luminária tipo pétala, para iluminação pública, incluindo as
conexões necessárias, inclusive montagem de andaime quando necessário.</t>
        </r>
      </text>
    </comment>
    <comment ref="C774" authorId="0">
      <text>
        <r>
          <rPr>
            <b/>
            <sz val="8"/>
            <color indexed="81"/>
            <rFont val="Segoe UI"/>
            <family val="2"/>
          </rPr>
          <t>COPEL: ILUMINAÇÃO PÚBLICA
Compreende a locação, abertura da cava, levantamento de poste ornamental de aço
escalonado tipo chicote, simples ou duplo, instalação de luminária e as conexões
necessárias, inclusive a pintura do poste, quando necessária.</t>
        </r>
      </text>
    </comment>
    <comment ref="C776" authorId="0">
      <text>
        <r>
          <rPr>
            <b/>
            <sz val="8"/>
            <color indexed="81"/>
            <rFont val="Segoe UI"/>
            <family val="2"/>
          </rPr>
          <t>COPEL: ILUMINAÇÃO PÚBLICA
Compreende a locação, abertura da cava, levantamento de poste ornamental com
luminária decorativa e as conexões necessárias, inclui a pintura de poste quando
necessária.</t>
        </r>
      </text>
    </comment>
    <comment ref="C778" authorId="0">
      <text>
        <r>
          <rPr>
            <b/>
            <sz val="8"/>
            <color indexed="81"/>
            <rFont val="Segoe UI"/>
            <family val="2"/>
          </rPr>
          <t>COPEL: ILUMINAÇÃO PÚBLICA
Compreende a instalação do reator de iluminação pública, para lâmpada de qualquer tipo,
inclusive as conexões necessárias, exceto ligação à rede.</t>
        </r>
      </text>
    </comment>
    <comment ref="C780" authorId="0">
      <text>
        <r>
          <rPr>
            <b/>
            <sz val="8"/>
            <color indexed="81"/>
            <rFont val="Segoe UI"/>
            <family val="2"/>
          </rPr>
          <t>COPEL: ILUMINAÇÃO PÚBLICA
Compreende a instalação do refletor com lâmpada, incluindo a regulagem e conexões
necessárias, exceto ligação à rede.</t>
        </r>
      </text>
    </comment>
    <comment ref="C782" authorId="0">
      <text>
        <r>
          <rPr>
            <b/>
            <sz val="8"/>
            <color indexed="81"/>
            <rFont val="Segoe UI"/>
            <family val="2"/>
          </rPr>
          <t>COPEL: ILUMINAÇÃO PÚBLICA
Consiste na retirada do conjunto braço e luminária montados e sua reinstalação no mesmo
poste ou outro poste da mesma obra, incluindo a conexão necessárias, exceto ligação à
rede.</t>
        </r>
      </text>
    </comment>
    <comment ref="C783" authorId="0">
      <text>
        <r>
          <rPr>
            <b/>
            <sz val="8"/>
            <color indexed="81"/>
            <rFont val="Segoe UI"/>
            <family val="2"/>
          </rPr>
          <t>COPEL: ILUMINAÇÃO PÚBLICA
Compreende a instalação de relé fotoelétrico de iluminação pública.</t>
        </r>
      </text>
    </comment>
    <comment ref="C785" authorId="0">
      <text>
        <r>
          <rPr>
            <b/>
            <sz val="8"/>
            <color indexed="81"/>
            <rFont val="Segoe UI"/>
            <family val="2"/>
          </rPr>
          <t>COPEL: ILUMINAÇÃO PÚBLICA
Compreende a instalação de relé fotoelétrico de iluminação pública.</t>
        </r>
      </text>
    </comment>
    <comment ref="C786" authorId="0">
      <text>
        <r>
          <rPr>
            <b/>
            <sz val="8"/>
            <color indexed="81"/>
            <rFont val="Segoe UI"/>
            <family val="2"/>
          </rPr>
          <t>COPEL: ILUMINAÇÃO PÚBLICA
Compreende a instalação de caixa padrão COPEL, tipo A ou B, para circuito de iluminação
pública, incluindo a fixação do eletroduto no poste, a fiação imbutida, e as conexões
necessárias, exceto ligação à rede.</t>
        </r>
      </text>
    </comment>
    <comment ref="H788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789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790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791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792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793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794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795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796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797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798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799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00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01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02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03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04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05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06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07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08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09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10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11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12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13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14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15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16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17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18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19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20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21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22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23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24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25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26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27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28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29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30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31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32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33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34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35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36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37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38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39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40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41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42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43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44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45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46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47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48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49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50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51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52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53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54" authorId="3">
      <text>
        <r>
          <rPr>
            <b/>
            <sz val="14"/>
            <color indexed="81"/>
            <rFont val="Tahoma"/>
            <family val="2"/>
          </rPr>
          <t>Piso Tátil =  1,17 m2
Área  da Rampa =  5,94 m2
Concreto 11 mpa = 0,30 m3
Brita =                    0,30 m3
Escavação =          0,45 m3
Forma =                  1,00 m2</t>
        </r>
      </text>
    </comment>
    <comment ref="H894" authorId="2">
      <text>
        <r>
          <rPr>
            <b/>
            <sz val="12"/>
            <color indexed="81"/>
            <rFont val="Tahoma"/>
            <family val="2"/>
          </rPr>
          <t xml:space="preserve">1º CAT+40% + aterro 95%
</t>
        </r>
      </text>
    </comment>
    <comment ref="H895" authorId="2">
      <text>
        <r>
          <rPr>
            <b/>
            <sz val="12"/>
            <color indexed="81"/>
            <rFont val="Tahoma"/>
            <family val="2"/>
          </rPr>
          <t xml:space="preserve">escavção jazida 1ª CAT+40% + aterro 95%
</t>
        </r>
      </text>
    </comment>
    <comment ref="H897" authorId="0">
      <text>
        <r>
          <rPr>
            <b/>
            <sz val="12"/>
            <color indexed="81"/>
            <rFont val="Segoe UI"/>
            <family val="2"/>
          </rPr>
          <t>preenchimento de rebaixo com brita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H898" authorId="0">
      <text>
        <r>
          <rPr>
            <b/>
            <sz val="12"/>
            <color indexed="81"/>
            <rFont val="Segoe UI"/>
            <family val="2"/>
          </rPr>
          <t>espessura 15 cm</t>
        </r>
        <r>
          <rPr>
            <sz val="12"/>
            <color indexed="81"/>
            <rFont val="Segoe UI"/>
            <family val="2"/>
          </rPr>
          <t xml:space="preserve">
=1,73/0,15 =11,53</t>
        </r>
      </text>
    </comment>
    <comment ref="H899" authorId="0">
      <text>
        <r>
          <rPr>
            <b/>
            <sz val="12"/>
            <color indexed="81"/>
            <rFont val="Segoe UI"/>
            <family val="2"/>
          </rPr>
          <t>preenchimento de rebaixo com brita</t>
        </r>
        <r>
          <rPr>
            <sz val="8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<sst xmlns="http://schemas.openxmlformats.org/spreadsheetml/2006/main" count="5754" uniqueCount="1154">
  <si>
    <t>:</t>
  </si>
  <si>
    <t>SUBPROJETO</t>
  </si>
  <si>
    <t>PROTOCOLO</t>
  </si>
  <si>
    <t xml:space="preserve">ARQ Nº </t>
  </si>
  <si>
    <t>LOCAL</t>
  </si>
  <si>
    <t>DMT</t>
  </si>
  <si>
    <t>CONSUMO</t>
  </si>
  <si>
    <t>CUSTOS UNITÁRIOS - ( R$ )</t>
  </si>
  <si>
    <t>PROJETO ORIGINAL</t>
  </si>
  <si>
    <t>TRANSP</t>
  </si>
  <si>
    <t>EXEC.</t>
  </si>
  <si>
    <t>S/BDI</t>
  </si>
  <si>
    <t>C/BDI</t>
  </si>
  <si>
    <t>QUANT</t>
  </si>
  <si>
    <t>UNIT</t>
  </si>
  <si>
    <t>( R$ ) - PM</t>
  </si>
  <si>
    <t>m3</t>
  </si>
  <si>
    <t xml:space="preserve"> </t>
  </si>
  <si>
    <t>m2</t>
  </si>
  <si>
    <t>80000B</t>
  </si>
  <si>
    <t>m</t>
  </si>
  <si>
    <t>80000C</t>
  </si>
  <si>
    <t>ton</t>
  </si>
  <si>
    <t>un</t>
  </si>
  <si>
    <t>TOTAL GERAL</t>
  </si>
  <si>
    <t>A60120</t>
  </si>
  <si>
    <t>kg</t>
  </si>
  <si>
    <t>BLSA120</t>
  </si>
  <si>
    <t>BLSA150</t>
  </si>
  <si>
    <t>BLSA200</t>
  </si>
  <si>
    <t>BLSA250</t>
  </si>
  <si>
    <t>BLSC120</t>
  </si>
  <si>
    <t>BLSC150</t>
  </si>
  <si>
    <t>BLSC200</t>
  </si>
  <si>
    <t>BLSC250</t>
  </si>
  <si>
    <t>BLDA120</t>
  </si>
  <si>
    <t>BLDA150</t>
  </si>
  <si>
    <t>BLDC120</t>
  </si>
  <si>
    <t>BLDC150</t>
  </si>
  <si>
    <t>CLA060</t>
  </si>
  <si>
    <t>CLA080</t>
  </si>
  <si>
    <t>CLA100</t>
  </si>
  <si>
    <t>CLA120</t>
  </si>
  <si>
    <t>CLC060</t>
  </si>
  <si>
    <t>CLC080</t>
  </si>
  <si>
    <t>CLC100</t>
  </si>
  <si>
    <t>CLC120</t>
  </si>
  <si>
    <t>CLC150</t>
  </si>
  <si>
    <t>CLC200</t>
  </si>
  <si>
    <t>PVAH150</t>
  </si>
  <si>
    <t>PVCH150</t>
  </si>
  <si>
    <t>PVCH200</t>
  </si>
  <si>
    <t>PVCH250</t>
  </si>
  <si>
    <t>VIGA080</t>
  </si>
  <si>
    <t>VIGA100</t>
  </si>
  <si>
    <t>VIGA120</t>
  </si>
  <si>
    <t>DISSIPM</t>
  </si>
  <si>
    <t>serviço</t>
  </si>
  <si>
    <t>TIJOLO</t>
  </si>
  <si>
    <t>cimen</t>
  </si>
  <si>
    <t>areia</t>
  </si>
  <si>
    <t>brita</t>
  </si>
  <si>
    <t>custo
exec</t>
  </si>
  <si>
    <t>CAL</t>
  </si>
  <si>
    <t>forma
   m2</t>
  </si>
  <si>
    <t>TIJOLO
M3</t>
  </si>
  <si>
    <t>concr
magr</t>
  </si>
  <si>
    <t>Concr
11mpa</t>
  </si>
  <si>
    <t>Concr
15mpa</t>
  </si>
  <si>
    <t>argamas
M2</t>
  </si>
  <si>
    <t>aço
ca 60</t>
  </si>
  <si>
    <t>grelha</t>
  </si>
  <si>
    <t>B.L. Símples alvenaria H até 1,20 m</t>
  </si>
  <si>
    <t>B.L. Símples alvenaria H até 1,50 m</t>
  </si>
  <si>
    <t>B.L. Símples alvenaria H até 2,00 m</t>
  </si>
  <si>
    <t>B.L. Símples alvenaria H até 2,50 m</t>
  </si>
  <si>
    <t>C.L. Alvenaria Tubo até 0,80</t>
  </si>
  <si>
    <t>C.L. Alvenaria Tubo até 1,00</t>
  </si>
  <si>
    <t>C.L. Alvenaria Tubo até 1,20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</si>
  <si>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</si>
  <si>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</si>
  <si>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</si>
  <si>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</si>
  <si>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</si>
  <si>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</si>
  <si>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</si>
  <si>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</si>
  <si>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</si>
  <si>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</si>
  <si>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0,0025</t>
  </si>
  <si>
    <t>0,0001</t>
  </si>
  <si>
    <t>0,0015</t>
  </si>
  <si>
    <t>0,0024</t>
  </si>
  <si>
    <t>0,0038</t>
  </si>
  <si>
    <t>0,0002</t>
  </si>
  <si>
    <t>0,0018</t>
  </si>
  <si>
    <t>0,0062</t>
  </si>
  <si>
    <t>0,0020</t>
  </si>
  <si>
    <t>0,0043</t>
  </si>
  <si>
    <t>0,0119</t>
  </si>
  <si>
    <t>0,0004</t>
  </si>
  <si>
    <t>0,0026</t>
  </si>
  <si>
    <t>0,0082</t>
  </si>
  <si>
    <t>tampão</t>
  </si>
  <si>
    <t>tubo
ø80</t>
  </si>
  <si>
    <t>86300A</t>
  </si>
  <si>
    <t>0,6231</t>
  </si>
  <si>
    <t>2,2155</t>
  </si>
  <si>
    <t>C.L. Alvenaria Tubo até 0,40</t>
  </si>
  <si>
    <t>C.L. Alvenaria Tubo até 0,60</t>
  </si>
  <si>
    <t>B.L. Dupla Alvenaria H até 1,20 m</t>
  </si>
  <si>
    <t>B.L. Dupla Alvenaria H até 1,50 m</t>
  </si>
  <si>
    <t>B.L. Dupla Alvenaria H até 2,00 m</t>
  </si>
  <si>
    <t>B.L. Dupla Alvenaria H até 2,50 m</t>
  </si>
  <si>
    <t>B.L. Símples concreto armado H até 1,50 m</t>
  </si>
  <si>
    <t>B.L. Símples concreto armado H até 2,00 m</t>
  </si>
  <si>
    <t>B.L. Símples concreto armado H até 2,50 m</t>
  </si>
  <si>
    <t>B.L. Símples concreto armado H até 1,20 m</t>
  </si>
  <si>
    <t>B.L. Dupla Concreto armado H até 1,50 m</t>
  </si>
  <si>
    <t>B.L. Dupla Concreto armado H até 2,00 m</t>
  </si>
  <si>
    <t>B.L. Dupla Concreto armado H até 2,50 m</t>
  </si>
  <si>
    <t>B.L. Dupla Concreto armado H até 1,20 m</t>
  </si>
  <si>
    <t>BLSM120</t>
  </si>
  <si>
    <t>BLSM150</t>
  </si>
  <si>
    <t>BLSM200</t>
  </si>
  <si>
    <t>BLSM250</t>
  </si>
  <si>
    <t>BLDA200</t>
  </si>
  <si>
    <t>BLDA250</t>
  </si>
  <si>
    <t>BLDM120</t>
  </si>
  <si>
    <t>BLDM150</t>
  </si>
  <si>
    <t>BLDM200</t>
  </si>
  <si>
    <t>BLDM250</t>
  </si>
  <si>
    <t>BLDC200</t>
  </si>
  <si>
    <t>BLDC250</t>
  </si>
  <si>
    <t>CLA040</t>
  </si>
  <si>
    <t>CLM040</t>
  </si>
  <si>
    <t>CLM060</t>
  </si>
  <si>
    <t>CLM080</t>
  </si>
  <si>
    <t>CLM100</t>
  </si>
  <si>
    <t>CLM120</t>
  </si>
  <si>
    <t>CLC040</t>
  </si>
  <si>
    <t>PVAH180</t>
  </si>
  <si>
    <t>PVAH80</t>
  </si>
  <si>
    <t>PVAH100</t>
  </si>
  <si>
    <t>PVAH130</t>
  </si>
  <si>
    <t>PVMH80</t>
  </si>
  <si>
    <t>PVMH100</t>
  </si>
  <si>
    <t>PVMH130</t>
  </si>
  <si>
    <t>PVMH150</t>
  </si>
  <si>
    <t>PVMH180</t>
  </si>
  <si>
    <t>PVCH80</t>
  </si>
  <si>
    <t>PVCH100</t>
  </si>
  <si>
    <t>PVCH130</t>
  </si>
  <si>
    <t>PVCH180</t>
  </si>
  <si>
    <t>61140c</t>
  </si>
  <si>
    <t>61150b</t>
  </si>
  <si>
    <t>P.V. Alvenaria H até 0,80 m Tubo até 0,40 + chaminé 1,00 m</t>
  </si>
  <si>
    <t>P.V. Alvenaria H até 1,00 m Tubo até 0,60 + chaminé 1,00 m</t>
  </si>
  <si>
    <t>P.V. Alvenaria H até 1,30 m Tubo até 0,80 + chaminé 1,00 m</t>
  </si>
  <si>
    <t>P.V. Alvenaria H até 1,50 m Tubo até 1,00 + chaminé 1,00 m</t>
  </si>
  <si>
    <t>P.V. Alvenaria H até 1,80 m Tubo até 1,20 + chaminé 1,00 m</t>
  </si>
  <si>
    <t>P.V. Pré-moldado H até 0,80 m Tubo até 0,40 + chaminé 1,00 m</t>
  </si>
  <si>
    <t>P.V. Pré-moldado H até 1,00 m Tubo até 0,60 + chaminé 1,00 m</t>
  </si>
  <si>
    <t>P.V. Pré-moldado H até 1,30 m Tubo até 0,80 + chaminé 1,00 m</t>
  </si>
  <si>
    <t>P.V. Pré-moldado H até 1,50 m Tubo até 1,00 + chaminé 1,00 m</t>
  </si>
  <si>
    <t>P.V. Pré-moldado H até 1,80 m Tubo até 1,20 + chaminé 1,00 m</t>
  </si>
  <si>
    <t>P.V. Concreto armado H até 0,80 m Tubo até 0,40 + chaminé 1,00 m</t>
  </si>
  <si>
    <t>P.V. Concreto armado H até 1,00 m Tubo até 0,60 + chaminé 1,00 m</t>
  </si>
  <si>
    <t>P.V. Concreto armado H até 1,30 m Tubo até 0,80 + chaminé 1,00 m</t>
  </si>
  <si>
    <t>P.V. Concreto armado H até 1,50 m Tubo até 1,00 + chaminé 1,00 m</t>
  </si>
  <si>
    <t>P.V. Concreto armado H até 1,80 m Tubo até 1,20 + chaminé 1,00 m</t>
  </si>
  <si>
    <t>P.V. Concreto armado H até 2,00 m Tubo até 1,50 + chaminé 1,00 m</t>
  </si>
  <si>
    <t>P.V. Concreto armado H até 2,50 m Tubo até 2,00 + chaminé 1,00 m</t>
  </si>
  <si>
    <t>ENSAIOS (%)</t>
  </si>
  <si>
    <t>53430a</t>
  </si>
  <si>
    <t>Dissipador de Energia c/Pedra de Mão tubo ø 1,00</t>
  </si>
  <si>
    <t>Dissipador de Energia c/Pedra de Mão tubo ø 1,20</t>
  </si>
  <si>
    <t>Dissipador de Energia c/Pedra de Mão tubo ø 1,50</t>
  </si>
  <si>
    <t>Pedra Argamassada m3</t>
  </si>
  <si>
    <t>CICLÓP 11
mpa m3</t>
  </si>
  <si>
    <t>73764/4</t>
  </si>
  <si>
    <t>73764/5</t>
  </si>
  <si>
    <t>73764/6</t>
  </si>
  <si>
    <t>transporte</t>
  </si>
  <si>
    <t>534906B</t>
  </si>
  <si>
    <t>534908A</t>
  </si>
  <si>
    <t>534908B</t>
  </si>
  <si>
    <t>534908C</t>
  </si>
  <si>
    <t>534906A</t>
  </si>
  <si>
    <t>534906C</t>
  </si>
  <si>
    <t>86300B</t>
  </si>
  <si>
    <t>86300C</t>
  </si>
  <si>
    <t>86300D</t>
  </si>
  <si>
    <t>86300E</t>
  </si>
  <si>
    <t>73764/4A</t>
  </si>
  <si>
    <t>73764/AB</t>
  </si>
  <si>
    <t>73764/5A</t>
  </si>
  <si>
    <t>73764/6A</t>
  </si>
  <si>
    <t>534300A</t>
  </si>
  <si>
    <t>ORÇAMENTO COMPARATIVO DE PAVIMENTAÇÃO PELA TABELA</t>
  </si>
  <si>
    <t>x</t>
  </si>
  <si>
    <t>ESCRITÓRIO REGIONAL</t>
  </si>
  <si>
    <t>DESCRIÇÃO DOS SERVIÇOS</t>
  </si>
  <si>
    <t>km</t>
  </si>
  <si>
    <t>( ton )</t>
  </si>
  <si>
    <t>UD</t>
  </si>
  <si>
    <t>PLANILHA DE SERVIÇOS   -   PAVIMENTAÇÃO</t>
  </si>
  <si>
    <t>ENSAIOS</t>
  </si>
  <si>
    <t>Paranacidade
( R$ )</t>
  </si>
  <si>
    <t>ORÇAMENTO APROVADO</t>
  </si>
  <si>
    <t>( R$ ) - PM
TOTAIS</t>
  </si>
  <si>
    <t>Município:</t>
  </si>
  <si>
    <t xml:space="preserve">SAM  </t>
  </si>
  <si>
    <t>Projeto :</t>
  </si>
  <si>
    <t xml:space="preserve">LOTE nº </t>
  </si>
  <si>
    <t>LOTE</t>
  </si>
  <si>
    <t>SERVIÇOS EXTRAS - TERRAPLENAGEM</t>
  </si>
  <si>
    <t/>
  </si>
  <si>
    <t>5</t>
  </si>
  <si>
    <t>2</t>
  </si>
  <si>
    <t>Regularização compac.subleito S.A.F. 100% PI</t>
  </si>
  <si>
    <t>Desmatamento e limpeza diam. até 30cm</t>
  </si>
  <si>
    <t>Destocamento árvores diam. &gt; 30cm</t>
  </si>
  <si>
    <t>Remoção de Solos Moles - 2 km</t>
  </si>
  <si>
    <t>Remoção da Camada Superficial</t>
  </si>
  <si>
    <t>Escavação em 1ª Categoria</t>
  </si>
  <si>
    <t>Escavação em 2ª Categoria</t>
  </si>
  <si>
    <t>Escavação em 3ª Categoria</t>
  </si>
  <si>
    <t>Escavação, Carga e Transp. de jazida 1ª Cat.</t>
  </si>
  <si>
    <t>Escavação, Carga e Transp. de jazida 2ª Cat.</t>
  </si>
  <si>
    <t>Compactação de Aterros - Controle Visual</t>
  </si>
  <si>
    <t>Compactação de Aterros 95% P.N.</t>
  </si>
  <si>
    <t>Compactação de Aterros 100% P.N.</t>
  </si>
  <si>
    <t>Colchão Drenante Areia Fund. Aterros</t>
  </si>
  <si>
    <t>Demolição de Concreto Símples</t>
  </si>
  <si>
    <t>Demolição de Concreto Armado</t>
  </si>
  <si>
    <t>Demolição Manual de Pavimento e Transporte</t>
  </si>
  <si>
    <t>Regularização do Subleito sem Compactação</t>
  </si>
  <si>
    <t>Regularização compac.subleito 100% PN</t>
  </si>
  <si>
    <t>Camada de bloqueio c/ pedra o &lt; 3/4"</t>
  </si>
  <si>
    <t>Regularização e Compactação p/ assentamento de calçadas/lajotas/blocos</t>
  </si>
  <si>
    <t>SEIL</t>
  </si>
  <si>
    <t>DER</t>
  </si>
  <si>
    <t>512000A</t>
  </si>
  <si>
    <t>3</t>
  </si>
  <si>
    <t>Colchão de Areia ( Rio / Jazida )</t>
  </si>
  <si>
    <t>Colchão de Brita/Pó de Pedra</t>
  </si>
  <si>
    <t>Solo estabilizado 2ª categoria</t>
  </si>
  <si>
    <t>Revestimento Primário</t>
  </si>
  <si>
    <t>Cascalhamento</t>
  </si>
  <si>
    <t>Solo Arenoso Fino (base) 100% PI</t>
  </si>
  <si>
    <t>Cimento</t>
  </si>
  <si>
    <t>Solo (Solo Cimento )</t>
  </si>
  <si>
    <t>Massa (Solo Cimento )</t>
  </si>
  <si>
    <t>Bica Corrida</t>
  </si>
  <si>
    <t>Brita Graduada</t>
  </si>
  <si>
    <t>Macadame Seco c/ Bica Corrida</t>
  </si>
  <si>
    <t>Rachão</t>
  </si>
  <si>
    <t>Bica corrida</t>
  </si>
  <si>
    <t>Macadame Seco c/ Brita Graduada</t>
  </si>
  <si>
    <t>Macadame Hidráulico</t>
  </si>
  <si>
    <t>Brita graduada tratada c/cimento (Cp=4%) 100% PI</t>
  </si>
  <si>
    <t>Pedra britada (Usina de solos)</t>
  </si>
  <si>
    <t>Massa (Brita Graduada )</t>
  </si>
  <si>
    <t>4</t>
  </si>
  <si>
    <t>SERVIÇOS EXTRAS - REVESTIMENTO</t>
  </si>
  <si>
    <t>6</t>
  </si>
  <si>
    <t>Rachão s/ britagem</t>
  </si>
  <si>
    <t>534906D</t>
  </si>
  <si>
    <t>534906E</t>
  </si>
  <si>
    <t>534906F</t>
  </si>
  <si>
    <t>534908D</t>
  </si>
  <si>
    <t>534908E</t>
  </si>
  <si>
    <t>534908F</t>
  </si>
  <si>
    <t>534906G</t>
  </si>
  <si>
    <t>534906H</t>
  </si>
  <si>
    <t>534906I</t>
  </si>
  <si>
    <t>534906J</t>
  </si>
  <si>
    <t>534908G</t>
  </si>
  <si>
    <t>534908H</t>
  </si>
  <si>
    <t>534908I</t>
  </si>
  <si>
    <t>DER mat</t>
  </si>
  <si>
    <t>SERVIÇOS EXTRAS - MEIO-FIO E SARJETA</t>
  </si>
  <si>
    <t>SERVIÇOS EXTRAS - URBANISMO DO PASSEIO</t>
  </si>
  <si>
    <t>605000B</t>
  </si>
  <si>
    <t>Bica Corrida - Passeio</t>
  </si>
  <si>
    <t>Limpeza e Lavagem da pista ( Recape )</t>
  </si>
  <si>
    <t>Pedra Irregular - sem colchão</t>
  </si>
  <si>
    <t>Cordão Lateral p/ Pedras Irregulares</t>
  </si>
  <si>
    <t>Retirada e Reassentamento de Pedras Irregulares</t>
  </si>
  <si>
    <t>Paralelepípedos Regulares</t>
  </si>
  <si>
    <t>Lajotas de Concreto e=4cm - sem colchão</t>
  </si>
  <si>
    <t>Lajotas de Concreto e=5cm - sem colchão</t>
  </si>
  <si>
    <t>Lajotas de Concreto e=6cm - sem colchão</t>
  </si>
  <si>
    <t>Lajotas de Concreto e=7cm - sem colchão</t>
  </si>
  <si>
    <t>Lajotas de Concreto e=8cm - sem colchão</t>
  </si>
  <si>
    <t>Lajotas de Concreto e=10cm - sem colchão</t>
  </si>
  <si>
    <t>Paver e=4cm - sem colchão</t>
  </si>
  <si>
    <t>Paver Colorido e=4cm - sem colchão</t>
  </si>
  <si>
    <t>Paver e=6cm - sem colchão</t>
  </si>
  <si>
    <t>Paver Colorido e=6cm - sem colchão</t>
  </si>
  <si>
    <t>Paver e=8cm - sem colchão</t>
  </si>
  <si>
    <t>Paver Colorido e=8cm - sem colchão</t>
  </si>
  <si>
    <t>Paver e=10cm - sem colchão</t>
  </si>
  <si>
    <t>Paver Colorido e=10cm - sem colchão</t>
  </si>
  <si>
    <t>Blockret e=4cm - sem colchão</t>
  </si>
  <si>
    <t>Blockret e=5cm - sem colchão</t>
  </si>
  <si>
    <t>Blockret e=6cm - sem colchão</t>
  </si>
  <si>
    <t>Blockret e=6,5cm - sem colchão</t>
  </si>
  <si>
    <t>Blockret e=8cm - sem colchão</t>
  </si>
  <si>
    <t>Blockret e=10cm - sem colchão</t>
  </si>
  <si>
    <t>Blockret e=12cm - sem colchão</t>
  </si>
  <si>
    <t>Petit - Pavet - sem colchão</t>
  </si>
  <si>
    <t>Lama Asfáltica ( faixa " 1 " ) - 2 mm</t>
  </si>
  <si>
    <t>Areia</t>
  </si>
  <si>
    <t>Cal Hidratada CH-1</t>
  </si>
  <si>
    <t>Emulsão RL- ( Araucária )</t>
  </si>
  <si>
    <t>Pó de Pedra</t>
  </si>
  <si>
    <t>Lama Asfáltica ( faixa " 2 " ) - 4 mm</t>
  </si>
  <si>
    <t>Lama Asfáltica ( faixa " 3 " ) - 8 mm</t>
  </si>
  <si>
    <t>Lama Asfáltica ( faixa " 4 " ) - 12 mm</t>
  </si>
  <si>
    <t>Trat.Sup. Símples c/ Emulsão ( Curitiba )</t>
  </si>
  <si>
    <t>Emulsão RR-2C ( Araucária )</t>
  </si>
  <si>
    <t>Brita</t>
  </si>
  <si>
    <t>TSD com Capa Selante - Tipo I-1</t>
  </si>
  <si>
    <t>TSD com Capa Selante Tipo - I-2</t>
  </si>
  <si>
    <t>TSD com Capa Selante - Tipo I-3</t>
  </si>
  <si>
    <t>Trat.Sup.Tríplo ( TST ) Tipo I-4</t>
  </si>
  <si>
    <t>Emulsão RR-2C ( Aruacária )</t>
  </si>
  <si>
    <t>Trat.Sup.Tríplo ( TST ) Tipo I-5</t>
  </si>
  <si>
    <t>Trat.Sup.Tríplo ( TST ) Tipo I-6</t>
  </si>
  <si>
    <t>Macadame Betuminoso c/ Emulsão RR-2C</t>
  </si>
  <si>
    <t>Macadame Betuminoso c/ CAP</t>
  </si>
  <si>
    <t>CAP ( Araucária )</t>
  </si>
  <si>
    <t>Capa Selante</t>
  </si>
  <si>
    <t>Pré-Misturado a Frio (aberto)</t>
  </si>
  <si>
    <t>Emulsão RM-2C ( Araucária )</t>
  </si>
  <si>
    <t>Brita ( usina )</t>
  </si>
  <si>
    <t>Massa</t>
  </si>
  <si>
    <t>Pré-Misturado a Frio (Semi-Denso) - DER</t>
  </si>
  <si>
    <t>Pré-Misturado a Frio (Semi-Denso) - DNIT</t>
  </si>
  <si>
    <t>Areia ( usina )</t>
  </si>
  <si>
    <t>Pré-Misturado a Quente (Quantidade menor que 10000 toneladas)</t>
  </si>
  <si>
    <t>Pré-Misturado a Quente (Quantidade maior que 10000 toneladas)</t>
  </si>
  <si>
    <t>CBUQ (Quantidade maior que 10000 toneladas)</t>
  </si>
  <si>
    <t>CBUQ c/ asfalto modificado p/ polímero SBS(60/85)</t>
  </si>
  <si>
    <t>CBUQ c/ asfalto com BORRACHA</t>
  </si>
  <si>
    <t>Frezagem Contínua a Frio</t>
  </si>
  <si>
    <t>Frezagem Descontínua a Frio</t>
  </si>
  <si>
    <t>Remoção de Meio-Fio</t>
  </si>
  <si>
    <t>Remoção e Recolocação de Meio-Fio</t>
  </si>
  <si>
    <t>Meio-Fio com Sarjeta DER - Tipo 1 - (0,103 m3) - Moldado "in loco"</t>
  </si>
  <si>
    <t>Meio-Fio com Sarjeta DER - Tipo 1 - (0,103 m3) - Pré-Moldado</t>
  </si>
  <si>
    <t>Meio-Fio com Sarjeta DER - Tipo 2 - (0,042 m3) - Moldado "in loco"</t>
  </si>
  <si>
    <t>Meio-Fio com Sarjeta DER - Tipo 2 - (0,042 m3) - Pré-Moldado</t>
  </si>
  <si>
    <t>Meio-Fio c/Sarjeta (rebaixado) DER-Tipo 7-(0,031 m3) - Moldado "in loco"</t>
  </si>
  <si>
    <t>Meio-Fio com Sarjeta DER - Tipo 7 - (0,031 m3) - Pré-Moldado</t>
  </si>
  <si>
    <t>Meio-Fio Símples DER - Tipo 3 - (0,034 m3) - Moldado "in loco"</t>
  </si>
  <si>
    <t>Meio-Fio com Sarjeta DER - Tipo 3 - (0,034 m3) - Pré-Moldado</t>
  </si>
  <si>
    <t>Meio-Fio Símples DER - Tipo 4 - (0,072 m3) - Moldado "in loco"</t>
  </si>
  <si>
    <t>Meio-Fio com Sarjeta DER - Tipo 4 - (0,072 m3) - Pré-Moldado</t>
  </si>
  <si>
    <t>Demolição de Concreto Símples (calçadas e outros)</t>
  </si>
  <si>
    <t>Lastro de Concreto Simples (calçadas e outros)</t>
  </si>
  <si>
    <t>Colchão de Areia (calçadas e outros)</t>
  </si>
  <si>
    <t>Colchão de Brita/Pó de Pedra (calçamentos)</t>
  </si>
  <si>
    <t>Colchão de Argila/Saibro/mat. de Jazida</t>
  </si>
  <si>
    <t>Apiloamento Manual (calçadas e outros)</t>
  </si>
  <si>
    <t>Formas de madeira compensada resinada</t>
  </si>
  <si>
    <t>Aço CA-50 Dobr. e Colocação</t>
  </si>
  <si>
    <t>Aço CA-60 Dobr. e Colocação</t>
  </si>
  <si>
    <t>Calçada Concreto ( e = 5,00 cm )</t>
  </si>
  <si>
    <t>Demolição de Cerca</t>
  </si>
  <si>
    <t>Remoção e recolocação de cercas de arame</t>
  </si>
  <si>
    <t>Construção de Cerca 4 fios c/ mourões de concreto</t>
  </si>
  <si>
    <t>Construção de Cerca 4 fios c/ mourões de madeira</t>
  </si>
  <si>
    <t>Defensa concreto(barreira) simples</t>
  </si>
  <si>
    <t>Defensa concreto(barreira) dupla</t>
  </si>
  <si>
    <t>Defensa simples semi-maleável c/ espaçador e calço</t>
  </si>
  <si>
    <t>Regularização e Compactação SAF- 100% PI - Passeio com Pavimento</t>
  </si>
  <si>
    <t>Regularização e Compactação 100% PN - Passeio com Pavimento</t>
  </si>
  <si>
    <t>Aterro c/ mat. do canteiro (escav 1ª CAT+transp+compact) - Passeio</t>
  </si>
  <si>
    <t>Aterro c/ mat. de jazida (escav 1ª CAT+transp+compact) - Passeio</t>
  </si>
  <si>
    <t>Solo estabilizado 2ª categoria - Passeio</t>
  </si>
  <si>
    <t>Brita Graduada - Passeio</t>
  </si>
  <si>
    <t>Imprimação com CM-30 ( Araucária ) - Passeio</t>
  </si>
  <si>
    <t>Pintura de ligação com RR-1C ( Araucária ) - Passeio</t>
  </si>
  <si>
    <t>Capa Selante - Passeio</t>
  </si>
  <si>
    <t>CBUQ (Quantidade menor que 10000 toneladas) - Passeio</t>
  </si>
  <si>
    <t>Pedra Irregular - sem colchão - Passeio</t>
  </si>
  <si>
    <t>Cordão Lateral p/ Pedras Irregulares - Passeio</t>
  </si>
  <si>
    <t>Retirada de Pedras Irregulares - Passeio</t>
  </si>
  <si>
    <t>Retirada e Reassentamento de Pedras Irregulares - Passeio</t>
  </si>
  <si>
    <t>Paralelepípedos Regulares - Passeio</t>
  </si>
  <si>
    <t>Limpeza e pintura de abrigo de ônibus</t>
  </si>
  <si>
    <t>Abrigo em parada de ônibus</t>
  </si>
  <si>
    <t>FAIXA ELEVADA PNE c/ Piso Tátil (NBR 9050) - Modelo 01 - ORÇAR</t>
  </si>
  <si>
    <t>Rampa para PNE com Piso Tátil (NBR 9050) - Modelo 02 - 5,94 m2</t>
  </si>
  <si>
    <t>Rampa para PNE com Piso Tátil (NBR 9050) - Modelo 03 - 5,94 m2</t>
  </si>
  <si>
    <t>Rampa para PNE com Piso Tátil (NBR 9050) - Modelo 04 - 5,94 m2</t>
  </si>
  <si>
    <t>Rampa para PNE com Piso Tátil (NBR 9050) - Modelo 05 - 7,80 m2</t>
  </si>
  <si>
    <t>Rampa para PNE com Piso Tátil (NBR 9050) - Modelo 06 - 7,65 m2</t>
  </si>
  <si>
    <t>Placa de Acompanhamento de Obra 1,50 x 0,75</t>
  </si>
  <si>
    <t>Placa de Obra 2,00 x 1,00</t>
  </si>
  <si>
    <t>Placa de Obra 3,00 x 1,50</t>
  </si>
  <si>
    <t>Placa de Obra 4,00 x 2,00</t>
  </si>
  <si>
    <t>Placa sinalização refletiva - SEM SUPORTE</t>
  </si>
  <si>
    <t>Suporte de madeira 3"x3" p/ placa sinalização</t>
  </si>
  <si>
    <t>Suporte metál.galv.fogo d=2,5" c/tampa e aletas anti-giro h=3,00m</t>
  </si>
  <si>
    <t>Placa sinalização refletiva-círculo (0,1964 m2/ud) + suporte MADEIRA</t>
  </si>
  <si>
    <t>Placa sinalização refletiva-triângulo (0,1219 m2/ud) + suporte MADEIRA</t>
  </si>
  <si>
    <t>Placa sinalização refletiva-octógono (0,2160 m2/ud) + suporte MADEIRA</t>
  </si>
  <si>
    <t>Placa sinalização refletiva-losango (0,2025 m2/ud) + suporte MADEIRA</t>
  </si>
  <si>
    <t>Placa sinalização refletiva-círculo (0,1964 m2/ud) + suporte METÁLICO</t>
  </si>
  <si>
    <t>Placa sinalização refletiva-triângulo (0,1219 m2/ud) + suporte METÁLICO</t>
  </si>
  <si>
    <t>Placa sinalização refletiva-octógono (0,2160 m2/ud) + suporte METÁLICO</t>
  </si>
  <si>
    <t>Placa sinalização refletiva-losango (0,2025 m2/ud) + suporte METÁLICO</t>
  </si>
  <si>
    <t>ORÇAR</t>
  </si>
  <si>
    <t>605000A</t>
  </si>
  <si>
    <t>605000C</t>
  </si>
  <si>
    <t>605000D</t>
  </si>
  <si>
    <t>605000E</t>
  </si>
  <si>
    <t>820000A</t>
  </si>
  <si>
    <t>820000B</t>
  </si>
  <si>
    <t>820000C</t>
  </si>
  <si>
    <t>820000D</t>
  </si>
  <si>
    <t>820000E</t>
  </si>
  <si>
    <t>820000F</t>
  </si>
  <si>
    <t>820000G</t>
  </si>
  <si>
    <t>820000H</t>
  </si>
  <si>
    <t>8</t>
  </si>
  <si>
    <t>Escavação Manual de Valas</t>
  </si>
  <si>
    <t>Escavação de Bueiros em 1ª Categoria</t>
  </si>
  <si>
    <t>Escavação de Bueiros em 2ª Categoria</t>
  </si>
  <si>
    <t>Escavação de Bueiros em 3ª Categoria</t>
  </si>
  <si>
    <t>Remoção de bueiro 0,30m</t>
  </si>
  <si>
    <t>Remoção de bueiro 0,40m</t>
  </si>
  <si>
    <t>Remoção de bueiro 0,50m</t>
  </si>
  <si>
    <t>Remoção de bueiro 0,60m</t>
  </si>
  <si>
    <t>Remoção de bueiro 0,80m</t>
  </si>
  <si>
    <t>Remoção de bueiro 1,00m</t>
  </si>
  <si>
    <t>Remoção de bueiro 1,20m</t>
  </si>
  <si>
    <t>Remoção de bueiro 1,50m</t>
  </si>
  <si>
    <t>Gabião galvanizado # 8x10</t>
  </si>
  <si>
    <t>Gabião</t>
  </si>
  <si>
    <t>Escoramento de galerias celulares</t>
  </si>
  <si>
    <t>Apiloamento Manual</t>
  </si>
  <si>
    <t>Reaterro e Apiloamento Mecânico</t>
  </si>
  <si>
    <t>Reaterro Sem Apiloamento</t>
  </si>
  <si>
    <t>Alvenaria de Pedra de Mão Argamassada</t>
  </si>
  <si>
    <t>Enrocamento pedra de mão arrumada</t>
  </si>
  <si>
    <t>Enrocamento pedra de mão jogada</t>
  </si>
  <si>
    <t>Lastro de Areia</t>
  </si>
  <si>
    <t>Lastro de Brita</t>
  </si>
  <si>
    <t>Alvenaria de Tijolos Maciços</t>
  </si>
  <si>
    <t>Alvenaria de Tijolos 6 Furos</t>
  </si>
  <si>
    <t>Argamassa Cimento e Areia 1:3</t>
  </si>
  <si>
    <t>Argamassa Cimento e Areia 1:4</t>
  </si>
  <si>
    <t>Dreno profundo em solo - tipo 1</t>
  </si>
  <si>
    <t>Tubo</t>
  </si>
  <si>
    <t>Concreto Magro</t>
  </si>
  <si>
    <t>Concreto Ciclópico 11 Mpa (37% de Pedra de Mão)</t>
  </si>
  <si>
    <t>Brita + Pedra de Mão</t>
  </si>
  <si>
    <t>Concreto Símples Fck = 11 Mpa</t>
  </si>
  <si>
    <t>Concreto Estrutural Fck = 15 Mpa</t>
  </si>
  <si>
    <t>Concreto Fck = 18 Mpa</t>
  </si>
  <si>
    <t>Boca (Ala) de BSTC ø 0,40 m</t>
  </si>
  <si>
    <t>Boca (Ala) de BSTC ø 0,60 m</t>
  </si>
  <si>
    <t>Boca (Ala) de BSTC ø 0,80 m</t>
  </si>
  <si>
    <t>Boca (Ala) de BSTC ø 1,00 m</t>
  </si>
  <si>
    <t>Boca (Ala) de BSTC ø 1,20 m</t>
  </si>
  <si>
    <t>Boca (Ala) de BSTC ø 1,50 m</t>
  </si>
  <si>
    <t>Boca (Ala) de BSTC ø 2,00 m</t>
  </si>
  <si>
    <t>Boca (Ala) de BDTC ø 0,60 m</t>
  </si>
  <si>
    <t>Boca (Ala) de BDTC ø 0,80 m</t>
  </si>
  <si>
    <t>Boca (Ala) de BDTC ø 1,00 m</t>
  </si>
  <si>
    <t>Boca (Ala) de BDTC ø 1,20 m</t>
  </si>
  <si>
    <t>Boca (Ala) de BDTC ø 1,50 m</t>
  </si>
  <si>
    <t>Boca (Ala) de BDTC ø 2,00 m</t>
  </si>
  <si>
    <t>Boca (Ala) de BTTC ø 0,60 m</t>
  </si>
  <si>
    <t>Boca (Ala) de BTTC ø 0,80 m</t>
  </si>
  <si>
    <t>Boca (Ala) de BTTC ø 1,00 m</t>
  </si>
  <si>
    <t>Boca (Ala) de BTTC ø 1,20 m</t>
  </si>
  <si>
    <t>Boca (Ala) de BTTC ø 1,50 m</t>
  </si>
  <si>
    <t>Boca (Ala) de BTTC ø 2,00 m</t>
  </si>
  <si>
    <t>Corpo de BSTC ø 0,40 sem Berço e sem Armação</t>
  </si>
  <si>
    <t>Corpo de BSTC ø 0,60 sem Berço e sem Armação</t>
  </si>
  <si>
    <t>Corpo de BSTC ø 0,80 sem Berço e sem Armação</t>
  </si>
  <si>
    <t>Corpo de BSTC ø 0,40 Sem Berço c/ Armação Símples CA-1</t>
  </si>
  <si>
    <t>Corpo de BSTC ø 0,60 Sem Berço c/ Armação Símples CA-1</t>
  </si>
  <si>
    <t>Corpo de BSTC ø 0,80 Sem Berço c/ Armação Símples CA-1</t>
  </si>
  <si>
    <t>Corpo de BSTC ø 1,00 Sem Berço c/ Armação Símples CA-1</t>
  </si>
  <si>
    <t>Corpo de BSTC ø 1,20 Sem Berço c/ Armação Símples CA-1</t>
  </si>
  <si>
    <t>Corpo de BSTC ø 1,50 Sem Berço c/ Armação Símples CA-1</t>
  </si>
  <si>
    <t>Corpo de BSTC ø 1,80 Sem Berço c/ Armação Símples CA-1</t>
  </si>
  <si>
    <t>Corpo de BSTC ø 2,00 Sem Berço c/ Armação Símples CA-1</t>
  </si>
  <si>
    <t>Corpo de BSTC ø 0,40 Sem Berço c/ Armação Dupla CA-2</t>
  </si>
  <si>
    <t>Corpo de BSTC ø 0,60 Sem Berço c/ Armação Dupla CA-2</t>
  </si>
  <si>
    <t>Corpo de BSTC ø 0,80 Sem Berço c/ Armação Dupla CA-2</t>
  </si>
  <si>
    <t>Corpo de BSTC ø 1,00 Sem Berço c/ Armação Dupla CA-2</t>
  </si>
  <si>
    <t>Corpo de BSTC ø 1,20 Sem Berço c/ Armação Dupla CA-2</t>
  </si>
  <si>
    <t>Corpo de BSTC ø 1,50 Sem Berço c/ Armação Dupla CA-2</t>
  </si>
  <si>
    <t>Corpo de BSTC ø 1,80 Sem Berço c/ Armação Dupla CA-2</t>
  </si>
  <si>
    <t>Corpo de BSTC ø 2,00 Sem Berço c/ Armação Dupla CA-2</t>
  </si>
  <si>
    <t>Corpo de BSTC ø 0,40 Com Berço c/ Armação Dupla CA-2</t>
  </si>
  <si>
    <t>Corpo de BSTC ø 0,60 Com Berço c/ Armação Dupla CA-2</t>
  </si>
  <si>
    <t>Corpo de BSTC ø 0,80 Com Berço c/ Armação Dupla CA-2</t>
  </si>
  <si>
    <t>Corpo de BSTC ø 1,00 Com Berço c/ Armação Dupla CA-2</t>
  </si>
  <si>
    <t>Corpo de BSTC ø 1,20 Com Berço c/ Armação Dupla CA-2</t>
  </si>
  <si>
    <t>Corpo de BSTC ø 1,50 Com Berço c/ Armação Dupla CA-2</t>
  </si>
  <si>
    <t>Corpo de BSTC ø 1,80 Com Berço c/ Armação Dupla CA-2</t>
  </si>
  <si>
    <t>Corpo de BSTC ø 2,00 Com Berço c/ Armação Dupla CA-2</t>
  </si>
  <si>
    <t>Tijolo</t>
  </si>
  <si>
    <t>Cal</t>
  </si>
  <si>
    <t>B.L. Símples pré-moldado H até 1,20 m</t>
  </si>
  <si>
    <t>B.L. Símples pré-moldado H até 1,50 m</t>
  </si>
  <si>
    <t>B.L. Símples pré-moldado H até 2,00 m</t>
  </si>
  <si>
    <t>B.L. Símples pré-moldado H até 2,50 m</t>
  </si>
  <si>
    <t>B.L. Dupla Pré-moldado H até 1,20 m</t>
  </si>
  <si>
    <t>B.L. Dupla Pré-moldado H até 1,50 m</t>
  </si>
  <si>
    <t>B.L. Dupla Pré-moldado H até 2,00 m</t>
  </si>
  <si>
    <t>B.L. Dupla Pré-moldado H até 2,50 m</t>
  </si>
  <si>
    <t>C.L. pré-moldado Tubo até 0,40</t>
  </si>
  <si>
    <t>C.L. pré-moldado Tubo até 0,60</t>
  </si>
  <si>
    <t>C.L. pré-moldado Tubo até 0,80</t>
  </si>
  <si>
    <t>C.L. pré-moldado Tubo até 1,00</t>
  </si>
  <si>
    <t>C.L. pré-moldado Tubo até 1,20</t>
  </si>
  <si>
    <t>C.L. concreto armado Tubo até 0,40</t>
  </si>
  <si>
    <t>C.L. concreto armado Tubo até 0,60</t>
  </si>
  <si>
    <t>C.L. concreto armado Tubo até 0,80</t>
  </si>
  <si>
    <t>C.L. concreto armado Tubo até 1,00</t>
  </si>
  <si>
    <t>C.L. concreto armado Tubo até 1,20</t>
  </si>
  <si>
    <t>C.L. concreto armado Tubo até 1,50</t>
  </si>
  <si>
    <t>C.L. concreto armado Tubo até 2,00</t>
  </si>
  <si>
    <t>Viga de Apoio em concreto marmado Tubo 0,80</t>
  </si>
  <si>
    <t>Viga de Apoio em concreto marmado Tubo 1,00</t>
  </si>
  <si>
    <t>Viga de Apoio em concreto marmado Tubo 1,20</t>
  </si>
  <si>
    <t>Dissipador de Energia c/Pedra de Mão tubo ø 0, 40</t>
  </si>
  <si>
    <t>Dissipador de Energia c/Pedra de Mão tubo ø 0, 60</t>
  </si>
  <si>
    <t>Dissipador de Energia c/Pedra de Mão tubo ø 0, 80</t>
  </si>
  <si>
    <t>EEEE001</t>
  </si>
  <si>
    <t>EEEE002</t>
  </si>
  <si>
    <t>EEEE003</t>
  </si>
  <si>
    <t>EEEE004</t>
  </si>
  <si>
    <t>EEEE005</t>
  </si>
  <si>
    <t>EEEE006</t>
  </si>
  <si>
    <t>EEEE007</t>
  </si>
  <si>
    <t>EEEE008</t>
  </si>
  <si>
    <t>EEEE009</t>
  </si>
  <si>
    <t>EEEE010</t>
  </si>
  <si>
    <t>ENSAIO DE ORÇAMENTO 1</t>
  </si>
  <si>
    <t>ENSAIO DE ORÇAMENTO 2</t>
  </si>
  <si>
    <t>ENSAIO DE ORÇAMENTO 3</t>
  </si>
  <si>
    <t>ENSAIO DE ORÇAMENTO 4</t>
  </si>
  <si>
    <t>ENSAIO DE ORÇAMENTO 5</t>
  </si>
  <si>
    <t>ENSAIO DE ORÇAMENTO 6</t>
  </si>
  <si>
    <t>ENSAIO DE ORÇAMENTO 7</t>
  </si>
  <si>
    <t>ENSAIO DE ORÇAMENTO 8</t>
  </si>
  <si>
    <t>ENSAIO DE ORÇAMENTO 9</t>
  </si>
  <si>
    <t>ENSAIO DE ORÇAMENTO 10</t>
  </si>
  <si>
    <t>SERVIÇOS EXTRAS - DRENAGEM</t>
  </si>
  <si>
    <t>ÁREA INICIAL</t>
  </si>
  <si>
    <t>ÁREA ATUAL</t>
  </si>
  <si>
    <t>CONFERÊNCIA</t>
  </si>
  <si>
    <t>Código</t>
  </si>
  <si>
    <t>Orígem</t>
  </si>
  <si>
    <t>IMPRIMIR</t>
  </si>
  <si>
    <t>ITENS</t>
  </si>
  <si>
    <t>7</t>
  </si>
  <si>
    <t>Cartilha</t>
  </si>
  <si>
    <t>Arquivo</t>
  </si>
  <si>
    <t>ANEXO</t>
  </si>
  <si>
    <r>
      <t xml:space="preserve">Solo Cimento(Pista) - </t>
    </r>
    <r>
      <rPr>
        <b/>
        <sz val="10"/>
        <rFont val="Arial"/>
        <family val="2"/>
      </rPr>
      <t>2%</t>
    </r>
  </si>
  <si>
    <r>
      <t xml:space="preserve">Solo Cimento(Pista) - </t>
    </r>
    <r>
      <rPr>
        <b/>
        <sz val="10"/>
        <rFont val="Arial"/>
        <family val="2"/>
      </rPr>
      <t>3%</t>
    </r>
  </si>
  <si>
    <r>
      <t xml:space="preserve">Solo Cimento(Pista) - </t>
    </r>
    <r>
      <rPr>
        <b/>
        <sz val="10"/>
        <rFont val="Arial"/>
        <family val="2"/>
      </rPr>
      <t>4%</t>
    </r>
  </si>
  <si>
    <r>
      <t xml:space="preserve">Solo Cimento(Pista) - </t>
    </r>
    <r>
      <rPr>
        <b/>
        <sz val="10"/>
        <rFont val="Arial"/>
        <family val="2"/>
      </rPr>
      <t>5%</t>
    </r>
  </si>
  <si>
    <r>
      <t xml:space="preserve">Solo Cimento(Pista) - </t>
    </r>
    <r>
      <rPr>
        <b/>
        <sz val="10"/>
        <rFont val="Arial"/>
        <family val="2"/>
      </rPr>
      <t>6%</t>
    </r>
  </si>
  <si>
    <r>
      <t xml:space="preserve">Solo Cimento(Pista)- </t>
    </r>
    <r>
      <rPr>
        <b/>
        <sz val="10"/>
        <rFont val="Arial"/>
        <family val="2"/>
      </rPr>
      <t>7%</t>
    </r>
  </si>
  <si>
    <r>
      <t xml:space="preserve">Solo Cimento(Usina) - </t>
    </r>
    <r>
      <rPr>
        <b/>
        <sz val="10"/>
        <rFont val="Arial"/>
        <family val="2"/>
      </rPr>
      <t>2%</t>
    </r>
  </si>
  <si>
    <r>
      <t xml:space="preserve">Solo Cimento(Usina) - </t>
    </r>
    <r>
      <rPr>
        <b/>
        <sz val="10"/>
        <rFont val="Arial"/>
        <family val="2"/>
      </rPr>
      <t>3%</t>
    </r>
  </si>
  <si>
    <r>
      <t xml:space="preserve">Solo Cimento(Usina) - </t>
    </r>
    <r>
      <rPr>
        <b/>
        <sz val="10"/>
        <rFont val="Arial"/>
        <family val="2"/>
      </rPr>
      <t>4%</t>
    </r>
  </si>
  <si>
    <r>
      <t xml:space="preserve">Solo Cimento(Usina) - </t>
    </r>
    <r>
      <rPr>
        <b/>
        <sz val="10"/>
        <rFont val="Arial"/>
        <family val="2"/>
      </rPr>
      <t>5%</t>
    </r>
  </si>
  <si>
    <r>
      <t xml:space="preserve">Solo Cimento(Usina) - </t>
    </r>
    <r>
      <rPr>
        <b/>
        <sz val="10"/>
        <rFont val="Arial"/>
        <family val="2"/>
      </rPr>
      <t>6%</t>
    </r>
  </si>
  <si>
    <r>
      <t xml:space="preserve">Solo Cimento(Usina) - </t>
    </r>
    <r>
      <rPr>
        <b/>
        <sz val="10"/>
        <rFont val="Arial"/>
        <family val="2"/>
      </rPr>
      <t>7%</t>
    </r>
  </si>
  <si>
    <t>cartilha</t>
  </si>
  <si>
    <t>Anexo</t>
  </si>
  <si>
    <t>PLANILHA DE SERVIÇOS   -   RESUMO</t>
  </si>
  <si>
    <t>Grandes 
Ìtens  (%)</t>
  </si>
  <si>
    <t>Experiência  :</t>
  </si>
  <si>
    <t>Quantidade
(projeto)</t>
  </si>
  <si>
    <t>Unid</t>
  </si>
  <si>
    <t>Quantidade 
Edital (40%)</t>
  </si>
  <si>
    <t>COPEL</t>
  </si>
  <si>
    <t>TERRAPLENAGEM</t>
  </si>
  <si>
    <t>REVESTIMENTO</t>
  </si>
  <si>
    <t>MEIO-FIO E SARJETA</t>
  </si>
  <si>
    <t>DRENAGEM</t>
  </si>
  <si>
    <t>SERVIÇOS PRELIMINARES</t>
  </si>
  <si>
    <t>Imprimação com Emulsão RR 1C ( Araucária )</t>
  </si>
  <si>
    <t>Imprimação com  CM-30 ( Araucária )</t>
  </si>
  <si>
    <t>Pintura de ligação com RR-1C ( Araucária )</t>
  </si>
  <si>
    <t>SERVIÇOS EXTRAS - SERVIÇOS PRELIMINARES</t>
  </si>
  <si>
    <t>BASE / SUB-BASE</t>
  </si>
  <si>
    <t>SERVIÇOS EXTRAS - BASE / SUB-BASE</t>
  </si>
  <si>
    <t>PAISAGISMO / URBANISMO</t>
  </si>
  <si>
    <t>SINALIZAÇÃO DE TRÂNSITO</t>
  </si>
  <si>
    <t>SERVIÇOS EXTRAS - SINALIZAÇÃO DE TRÂNSITO</t>
  </si>
  <si>
    <t>ILUMINAÇÃO PÚBLICA</t>
  </si>
  <si>
    <t>9</t>
  </si>
  <si>
    <t>SERVIÇOS DIVERSOS</t>
  </si>
  <si>
    <t>10</t>
  </si>
  <si>
    <t>Limpeza de bueiro</t>
  </si>
  <si>
    <t>Limpeza e lavagem de sinalização vertical</t>
  </si>
  <si>
    <t>Limpeza e pintura de meio fio</t>
  </si>
  <si>
    <t>Remoção de cercas</t>
  </si>
  <si>
    <t>Escavação e carga mat. jazida 1a. cat./sem transporte</t>
  </si>
  <si>
    <t>Escavação e carga mat. jazida 2a. cat./sem transporte</t>
  </si>
  <si>
    <t>Escarificação e remoção revestimento primário</t>
  </si>
  <si>
    <t>Escarificação e conformação do subleito</t>
  </si>
  <si>
    <t>Escarificação da base</t>
  </si>
  <si>
    <t>Refôrço do Subleito c/ mat. de 1ª Cat (solos-argila e assemelhados)</t>
  </si>
  <si>
    <t>Refôrço do Subleito c/ mat. de 2ª Cat (saibro-moledo-cascalho)</t>
  </si>
  <si>
    <t>BDI</t>
  </si>
  <si>
    <t>PAV-2</t>
  </si>
  <si>
    <t>PAV-3</t>
  </si>
  <si>
    <t>PAI-17</t>
  </si>
  <si>
    <t>Brita 4A</t>
  </si>
  <si>
    <t>PM curitiba</t>
  </si>
  <si>
    <t>Saibro CBR&gt;=20 (Base ou Sub-Base)</t>
  </si>
  <si>
    <t>Moledo  CBR&gt;=20(Base ou Sub-Base)</t>
  </si>
  <si>
    <t>Retirada de Pedras Irregulares</t>
  </si>
  <si>
    <t>810250A</t>
  </si>
  <si>
    <t>810250B</t>
  </si>
  <si>
    <t>Fincadinha de concreto - (9x19x39cm-0,0171m3/m)</t>
  </si>
  <si>
    <t>810250C</t>
  </si>
  <si>
    <t>Fincadinha de concreto moldada in loco- (7x20cm-0,014m3/m)</t>
  </si>
  <si>
    <t>Fincadinha de Granito - (8x15cm-0,012m3/m)</t>
  </si>
  <si>
    <t>Refôrço do Subleito c/ mat. de 2ª Cat (saibro-moledo-cascalho) passeio</t>
  </si>
  <si>
    <t>Saibro CBR&gt;=20 (Base ou Sub-Base) - passeio</t>
  </si>
  <si>
    <t>Moledo  CBR&gt;=20(Base ou Sub-Base) -passeio</t>
  </si>
  <si>
    <t>Brita 4A - passeio</t>
  </si>
  <si>
    <t>Plantio de Grama em placas</t>
  </si>
  <si>
    <t>Plantio de Grama em mudas</t>
  </si>
  <si>
    <t>74236/1</t>
  </si>
  <si>
    <t>Plantio de Grama esmeralda em rolo</t>
  </si>
  <si>
    <t>73967/1</t>
  </si>
  <si>
    <t>73967/2</t>
  </si>
  <si>
    <t>Plantio de Árvore, altura de 1,00m, em cavas de 80x80x80cm</t>
  </si>
  <si>
    <t>Plantio de Áarvore regional, altura maior que 2,00m, em cavas de 80x80x80cm</t>
  </si>
  <si>
    <t>Plantio de Árvore com altura 50 a 100cm</t>
  </si>
  <si>
    <t>PAV-77</t>
  </si>
  <si>
    <t xml:space="preserve">Faixa de Sinalização Horizontal c/tinta resina acrílica base solvente- (0,034 m2/m2) </t>
  </si>
  <si>
    <t>Tacha refletiva bidirecional</t>
  </si>
  <si>
    <t>Tacha refletiva monodirecional</t>
  </si>
  <si>
    <t>Tachão refletivo bidirecional</t>
  </si>
  <si>
    <t>Tachão refletivo monodirecional</t>
  </si>
  <si>
    <t>Demolição de Alvenaria</t>
  </si>
  <si>
    <t>IMPOSTOS</t>
  </si>
  <si>
    <t>TOTAL</t>
  </si>
  <si>
    <t>EVENTUAIS</t>
  </si>
  <si>
    <t>LUCRO</t>
  </si>
  <si>
    <t>BDI ATUAL - DER / PAVIMENTAÇÃO</t>
  </si>
  <si>
    <t>PREÇO GLOBAL</t>
  </si>
  <si>
    <t>73899/1</t>
  </si>
  <si>
    <t>73899/2</t>
  </si>
  <si>
    <t>Demolicao de alvenaria de tijolos macicos s/reaproveitamento</t>
  </si>
  <si>
    <t>Demolicao de alvenaria de tijolos furados s/reaproveitamento</t>
  </si>
  <si>
    <t>Corpo de BSTC ø 0,20 sem Berço e sem Armação</t>
  </si>
  <si>
    <t>Corpo de BSTC ø 0,30 sem Berço e sem Armação</t>
  </si>
  <si>
    <t>Corpo de BSTC ø 0,50 sem Berço e sem Armação</t>
  </si>
  <si>
    <t>Corpo de BSTC ø 0,70 sem Berço e sem Armação</t>
  </si>
  <si>
    <t>Locação direta de estruras em ramais de RDR</t>
  </si>
  <si>
    <t>Locação de estrutura em rede distribuição rural</t>
  </si>
  <si>
    <t>Locação de estrutura em rede distribuição urbana</t>
  </si>
  <si>
    <t>742A</t>
  </si>
  <si>
    <t>743A</t>
  </si>
  <si>
    <t>744A</t>
  </si>
  <si>
    <t>745A</t>
  </si>
  <si>
    <t>746A</t>
  </si>
  <si>
    <t>747A</t>
  </si>
  <si>
    <t>748A</t>
  </si>
  <si>
    <t>759A</t>
  </si>
  <si>
    <t>751A</t>
  </si>
  <si>
    <t>752A</t>
  </si>
  <si>
    <t>753A</t>
  </si>
  <si>
    <t>755A</t>
  </si>
  <si>
    <t>756A</t>
  </si>
  <si>
    <t>757A</t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</si>
  <si>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Cadeia de isoladores de disco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</si>
  <si>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Cruzeta símples sem isoladores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</si>
  <si>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Cruzeta dupla sem isoladores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</si>
  <si>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isolador de pino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</si>
  <si>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suporte T para fixação de chaves ou pára-raios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</si>
  <si>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Suporte ou afastador para isolador pilar</t>
    </r>
  </si>
  <si>
    <t>770A</t>
  </si>
  <si>
    <t>771A</t>
  </si>
  <si>
    <t>772A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</si>
  <si>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de estai de âncora simples ou reforçado para AT ou BT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</si>
  <si>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estai de âncora simples ou reforçado para AT ou BT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</si>
  <si>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de estai de contraposte simples para AT ou BT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</si>
  <si>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estai de contraposte simples para AT ou BT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</si>
  <si>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de estai de poste a poste para AT ou BT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</si>
  <si>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estai de poste a poste para AT ou BT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</si>
  <si>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cadeia de isoladores de disco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</si>
  <si>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cruzeta símples sem isoladores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</si>
  <si>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de estai provisório durante o lançamento e tensionamento de cabos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</si>
  <si>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cruzeta dupla sem isoladores</t>
    </r>
  </si>
  <si>
    <t>774A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</si>
  <si>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de estai de âncora com haste cimentada na rocha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</si>
  <si>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estai de âncora com haste cimentada na rocha</t>
    </r>
  </si>
  <si>
    <t>776A</t>
  </si>
  <si>
    <t>862A</t>
  </si>
  <si>
    <t>875A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</si>
  <si>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de dispositivo de segurança no estai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</si>
  <si>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dispositivo de segurança no estai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</si>
  <si>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concretagem</t>
    </r>
  </si>
  <si>
    <r>
      <t>MONTAGEM</t>
    </r>
    <r>
      <rPr>
        <sz val="10"/>
        <rFont val="Arial"/>
        <family val="2"/>
      </rPr>
      <t xml:space="preserve"> de sinalizador de estai de âncora</t>
    </r>
  </si>
  <si>
    <r>
      <t>Retirada</t>
    </r>
    <r>
      <rPr>
        <sz val="10"/>
        <rFont val="Arial"/>
        <family val="2"/>
      </rPr>
      <t xml:space="preserve"> de sinalizador de estai de âncora</t>
    </r>
  </si>
  <si>
    <t>947A</t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</si>
  <si>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suporte l ou suporte afastador para rede antifurto</t>
    </r>
  </si>
  <si>
    <t>760A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</si>
  <si>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afastador de armação secundária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</si>
  <si>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afastador de armação secundária</t>
    </r>
  </si>
  <si>
    <t>761A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</si>
  <si>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armação secundária. de 1 estribo ou parafuso com olhal</t>
    </r>
  </si>
  <si>
    <t>762A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</si>
  <si>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armação secundária com mais de 1 estribo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</si>
  <si>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armação secundária com mais de 1 estribo</t>
    </r>
  </si>
  <si>
    <r>
      <rPr>
        <b/>
        <sz val="10"/>
        <rFont val="Arial"/>
        <family val="2"/>
      </rPr>
      <t>Deslocamento ou reinstalação</t>
    </r>
    <r>
      <rPr>
        <sz val="10"/>
        <rFont val="Arial"/>
        <family val="2"/>
      </rPr>
      <t xml:space="preserve"> de armação secundária montada com
mais de 1 (um) estribo</t>
    </r>
  </si>
  <si>
    <t>780A</t>
  </si>
  <si>
    <t>781A</t>
  </si>
  <si>
    <t>782A</t>
  </si>
  <si>
    <t>783A</t>
  </si>
  <si>
    <t>784A</t>
  </si>
  <si>
    <t>785A</t>
  </si>
  <si>
    <t>786A</t>
  </si>
  <si>
    <t>787A</t>
  </si>
  <si>
    <t>790A</t>
  </si>
  <si>
    <r>
      <rPr>
        <b/>
        <sz val="10"/>
        <rFont val="Arial"/>
        <family val="2"/>
      </rPr>
      <t xml:space="preserve">MONTAGEM - </t>
    </r>
    <r>
      <rPr>
        <sz val="10"/>
        <rFont val="Arial"/>
        <family val="2"/>
      </rPr>
      <t>lançamento de cabo de alumínio de AT, acima 02 AWG até 2/0 AWG CA ou CAA e cabo alumínio 4/0 CA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</si>
  <si>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cabo de alumínio de AT, acima 02 AWG até 2/0 AWG CA ou CAA e cabo alumínio 4/0 CA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</si>
  <si>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lançamento de cabo de alumínio de at, de 4/0 AWG até 336,4 mcm CAA e cabo de alumínio acima de 4/0 AWG até 336,4 mcm CA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</si>
  <si>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cabo de alumínio de at, de 4/0 AWG até 336,4 mcm CAA e cabo de alumínio acima de 4/0 AWG até 336,4 mcm CA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</si>
  <si>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lançamento de cabo de alumínio de AT, acima 336,4 mcm CA ou CAA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</si>
  <si>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cabo de alumínio de AT, acima 336,4 mcm CA ou CAA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</si>
  <si>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lançamento de cabo ou fio de cobre de AT, até 35 mm24/0 AWG até 336,4 mcm CA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</si>
  <si>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lançamento de cabo de cobre de AT, acima de 35 mm2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</si>
  <si>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cabo de cobre de AT, acima de 35 mm2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</si>
  <si>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lançamento de cabo de AT, aço 3x2,25mm, aço-alumínio 3x10 AWG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</si>
  <si>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cabo de AT, aço 3x2,25mm, aço-alumínio 3x10 AWG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</si>
  <si>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lançamento do fio de aço 3,09 mm de AT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</si>
  <si>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fio de aço 3,09 mm de AT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</si>
  <si>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lançamento de cabo subterrâneo de alta tensão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</si>
  <si>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cabo subterrâneo de alta tensão</t>
    </r>
  </si>
  <si>
    <r>
      <rPr>
        <b/>
        <sz val="10"/>
        <rFont val="Arial"/>
        <family val="2"/>
      </rPr>
      <t>Retensionamento</t>
    </r>
    <r>
      <rPr>
        <sz val="10"/>
        <rFont val="Arial"/>
        <family val="2"/>
      </rPr>
      <t xml:space="preserve"> de cabos existentes em AT, </t>
    </r>
    <r>
      <rPr>
        <b/>
        <sz val="10"/>
        <rFont val="Arial"/>
        <family val="2"/>
      </rPr>
      <t>por cabo</t>
    </r>
  </si>
  <si>
    <t>1</t>
  </si>
  <si>
    <t>860A</t>
  </si>
  <si>
    <t>864A</t>
  </si>
  <si>
    <t>866A</t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</si>
  <si>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canaleta para proteção do cabo condutor AT / BT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</si>
  <si>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canaleta para proteção do cabo condutor AT / BT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</si>
  <si>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esfera de sinalaização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</si>
  <si>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eletroduto para rede subterrânea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</si>
  <si>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eletroduto para rede subterrânea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</si>
  <si>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esfera de sinalaização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</si>
  <si>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cabo ou fio de cobre de AT, até 35 mm24/0 AWG até 336,4 mcm CA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</si>
  <si>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levantamento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auxiliar para entrada serviço de unidade consumidora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</si>
  <si>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auxiliar para entrada serviço de unidade consumidora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</si>
  <si>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levantamento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até 12 metros de altura com resistência até 1000 DAN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</si>
  <si>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até 12 metros de altura com resistência até 1000 DAN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</si>
  <si>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levantamento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até 12 metros de altura com resistência acima 1000 DAN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</si>
  <si>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até 12 metros de altura com resistência.
acima 1000 DAN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</si>
  <si>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levantamento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entre 13 a 15 metros de altura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</si>
  <si>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entre 13 a 15 metros de altura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</si>
  <si>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levantamento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de 15 a 18 metros de altura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</si>
  <si>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de 15 a 18 metros de altura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</si>
  <si>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levantamento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acima de 18 metros de altura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</si>
  <si>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acima de 18 metros de altura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</si>
  <si>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proteção de </t>
    </r>
    <r>
      <rPr>
        <b/>
        <sz val="10"/>
        <rFont val="Arial"/>
        <family val="2"/>
      </rPr>
      <t>POSTE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</si>
  <si>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proteção de </t>
    </r>
    <r>
      <rPr>
        <b/>
        <sz val="10"/>
        <rFont val="Arial"/>
        <family val="2"/>
      </rPr>
      <t>POSTE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</si>
  <si>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defensa de </t>
    </r>
    <r>
      <rPr>
        <b/>
        <sz val="10"/>
        <rFont val="Arial"/>
        <family val="2"/>
      </rPr>
      <t>POSTE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</si>
  <si>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armação secundária. de 1 estribo ou parafuso com olhal</t>
    </r>
  </si>
  <si>
    <t>794A</t>
  </si>
  <si>
    <t>795A</t>
  </si>
  <si>
    <t>792A</t>
  </si>
  <si>
    <t>796A</t>
  </si>
  <si>
    <t>867A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</si>
  <si>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lançamento de cabo de alumínio de BT, até 02 AWG CA ou CAA</t>
    </r>
  </si>
  <si>
    <r>
      <rPr>
        <b/>
        <sz val="10"/>
        <rFont val="Arial"/>
        <family val="2"/>
      </rPr>
      <t xml:space="preserve">MONTAGEM - </t>
    </r>
    <r>
      <rPr>
        <sz val="10"/>
        <rFont val="Arial"/>
        <family val="2"/>
      </rPr>
      <t>lançamento de cabo de alumínio de AT, até 02 AWG CA ou CAA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</si>
  <si>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cabo de alumínio de AT, até 02 AWG CA ou CAA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</si>
  <si>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lançamento de cabo de alumínio de BT, acima 02 AWG até 2/0 AWG CA ou CAA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</si>
  <si>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lançamento de cabo ou fio de cobre de BT, até 35 mm2</t>
    </r>
  </si>
  <si>
    <t>Retirada de cabo ou fio de cobre de BT, até 35 mm2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</si>
  <si>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lançamento de cabo ou fio de cobre de BT, acima 35 mm2</t>
    </r>
  </si>
  <si>
    <t>Retirada de cabo ou fio de cobre de BT, acima 35 mm2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</si>
  <si>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lançamento de cabo subterrâneo de baixa tensão</t>
    </r>
  </si>
  <si>
    <t>Retirada de cabo subterrâneo de baixa tensão</t>
  </si>
  <si>
    <t>Retirada de espaçador de cabos em vão de baixa tensão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</si>
  <si>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espaçador de cabos em vão de baixa tensão</t>
    </r>
  </si>
  <si>
    <t>813A</t>
  </si>
  <si>
    <t>8712A</t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</si>
  <si>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descida suplementar de proteção para aterramento de transformador de 33kv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</si>
  <si>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descida suplementar de proteção para aterramento de transformador de 33kv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</si>
  <si>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aterramento temporário para rede de AT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</si>
  <si>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aterramento temporário para rede de BT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</si>
  <si>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haste de aterramento de aço cobre, primeira haste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</si>
  <si>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haste de aterramento de aço cobre, demais hastes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</si>
  <si>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haste de aterramento de aço cobre, haste profunda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</si>
  <si>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haste de aterramento zincada para cerca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</si>
  <si>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malha de aterramento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</si>
  <si>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aplicação de produtos químicos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</si>
  <si>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instalação do aterramento temporário tipo sela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</si>
  <si>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seccionamento de cerca, por seccionador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</si>
  <si>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seccionamento de cerca, por seccionador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</si>
  <si>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Aprumar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existente equipado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</si>
  <si>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Deslocamento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equipado existente até 0,30 metros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</si>
  <si>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Instalação</t>
    </r>
    <r>
      <rPr>
        <sz val="10"/>
        <rFont val="Arial"/>
        <family val="2"/>
      </rPr>
      <t xml:space="preserve"> de defensa de </t>
    </r>
    <r>
      <rPr>
        <b/>
        <sz val="10"/>
        <rFont val="Arial"/>
        <family val="2"/>
      </rPr>
      <t>POSTE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</si>
  <si>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Reinstalação</t>
    </r>
    <r>
      <rPr>
        <sz val="10"/>
        <rFont val="Arial"/>
        <family val="2"/>
      </rPr>
      <t xml:space="preserve"> de cruzeta dupla montada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</si>
  <si>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Instalação</t>
    </r>
    <r>
      <rPr>
        <sz val="10"/>
        <rFont val="Arial"/>
        <family val="2"/>
      </rPr>
      <t xml:space="preserve"> de isolador de pino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</si>
  <si>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Iinstalação</t>
    </r>
    <r>
      <rPr>
        <sz val="10"/>
        <rFont val="Arial"/>
        <family val="2"/>
      </rPr>
      <t xml:space="preserve"> de suporte T para fixação de chaves ou pára-raios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</si>
  <si>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Instalação</t>
    </r>
    <r>
      <rPr>
        <sz val="10"/>
        <rFont val="Arial"/>
        <family val="2"/>
      </rPr>
      <t xml:space="preserve"> de Suporte ou afastador para isolador pilar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</si>
  <si>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Instalação</t>
    </r>
    <r>
      <rPr>
        <sz val="10"/>
        <rFont val="Arial"/>
        <family val="2"/>
      </rPr>
      <t xml:space="preserve"> de suporte l ou suporte afastador para rede antifurto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</si>
  <si>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Corte de poste de concreto ou madeira para escora subsolo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</si>
  <si>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Escora de subsolo simples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</si>
  <si>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Escora de subsolo dupla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</si>
  <si>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Retensionamento</t>
    </r>
    <r>
      <rPr>
        <sz val="10"/>
        <rFont val="Arial"/>
        <family val="2"/>
      </rPr>
      <t xml:space="preserve"> de cabo aço do estai simples ou reforçado
existente</t>
    </r>
  </si>
  <si>
    <r>
      <rPr>
        <sz val="10"/>
        <rFont val="Arial"/>
        <family val="2"/>
      </rPr>
      <t>MONTAGEM</t>
    </r>
    <r>
      <rPr>
        <b/>
        <sz val="10"/>
        <rFont val="Arial"/>
        <family val="2"/>
      </rPr>
      <t xml:space="preserve"> - Concretagem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</si>
  <si>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Retensionamento</t>
    </r>
    <r>
      <rPr>
        <sz val="10"/>
        <rFont val="Arial"/>
        <family val="2"/>
      </rPr>
      <t xml:space="preserve"> de cabos existentes em BT, </t>
    </r>
    <r>
      <rPr>
        <b/>
        <sz val="10"/>
        <rFont val="Arial"/>
        <family val="2"/>
      </rPr>
      <t>por cabo</t>
    </r>
  </si>
  <si>
    <t>834A</t>
  </si>
  <si>
    <t>836A</t>
  </si>
  <si>
    <t>793A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</si>
  <si>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base p/ relé iluminação públ. comando grupo ou individual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</si>
  <si>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braço de iluminação pública de até 2m de comprimento, com luminária aberta ou fechada, com lâmpada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</si>
  <si>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braço de iluminação pública de até 2m de comprimento, com luminária aberta ou fechada, com lâmpada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</si>
  <si>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braço de iluminação pública acima de 2m de comprimento, com luminária aberta ou fechada, com lâmpada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</si>
  <si>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deslocamento de luminária montada</t>
    </r>
  </si>
  <si>
    <t>835A</t>
  </si>
  <si>
    <t>838A</t>
  </si>
  <si>
    <t>839A</t>
  </si>
  <si>
    <t>840A</t>
  </si>
  <si>
    <t>841A</t>
  </si>
  <si>
    <t>842A</t>
  </si>
  <si>
    <t>845A</t>
  </si>
  <si>
    <t>843A</t>
  </si>
  <si>
    <t>859A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</si>
  <si>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luminária exceto braço para iluminação pública</t>
    </r>
  </si>
  <si>
    <t>Retirada de luminária exceto braço para iluminação pública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</si>
  <si>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luminária tipo pétala para iluminação pública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</si>
  <si>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luminária tipo pétala para iluminação pública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</si>
  <si>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poste ornamental de aço tipo chicote simples ou duplo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</si>
  <si>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poste ornamental até 5 metros altura útil com luminária decorativa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</si>
  <si>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reator para lâmpada vapor de mercúrio (vmc), vapor de sódio (vsa) e vapor metálico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</si>
  <si>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reator para lâmpada vapor de mercúrio (vmc), vapor de sódio (vsa) e vapor metálico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</si>
  <si>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refletor para lâmpada incandescente, mista, vapor de mercúrio, vapor de sódio e vapor metálico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</si>
  <si>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reinstalação de luminária montada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</si>
  <si>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relé fotelétrico de iluminação pública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</si>
  <si>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relé fotelétrico de iluminação pública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</si>
  <si>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substituição de lâmpada de iluminação pública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</si>
  <si>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caixa de proteção padrão copel, tipo a ou b para iluminação pública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</si>
  <si>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caixa de proteção padrão copel, tipo a ou b para iluminação pública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</si>
  <si>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poste ornamental até 5 metros altura útil com luminária decorativa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</si>
  <si>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braço de iluminação pública acima de 2m de comprimento, com luminária aberta ou fechada, com lâmpada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</si>
  <si>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base p/ relé iluminação públ. comando grupo ou individual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</si>
  <si>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cabo de alumínio de BT, acima 02 AWG até 2/0 AWG CA ou CAA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</si>
  <si>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cabo de alumínio de BT, até 02 AWG CA ou CAA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</si>
  <si>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refletor para lâmpada incandescente, mista, vapor de mercúrio, vapor de sódio e vapor metálicoberta ou fechada, com lâmpada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</si>
  <si>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poste ornamental de aço tipo chicote simples ou duplo</t>
    </r>
  </si>
  <si>
    <t>73767/1</t>
  </si>
  <si>
    <t>73767/2</t>
  </si>
  <si>
    <t>73767/3</t>
  </si>
  <si>
    <t>73767/4</t>
  </si>
  <si>
    <t>73767/5</t>
  </si>
  <si>
    <t>73855/1</t>
  </si>
  <si>
    <t>73857/1</t>
  </si>
  <si>
    <t>73857/2</t>
  </si>
  <si>
    <t>73857/3</t>
  </si>
  <si>
    <t>73857/4</t>
  </si>
  <si>
    <t>73857/5</t>
  </si>
  <si>
    <t>73857/6</t>
  </si>
  <si>
    <t>73857/7</t>
  </si>
  <si>
    <t>73857/8</t>
  </si>
  <si>
    <t>73857/9</t>
  </si>
  <si>
    <t>73857/10</t>
  </si>
  <si>
    <t>73781/1</t>
  </si>
  <si>
    <t>73781/2</t>
  </si>
  <si>
    <t>73781/3</t>
  </si>
  <si>
    <t>73780/1</t>
  </si>
  <si>
    <t>73780/2</t>
  </si>
  <si>
    <t>73780/3</t>
  </si>
  <si>
    <t>73780/4</t>
  </si>
  <si>
    <t>73783/1</t>
  </si>
  <si>
    <t>73783/3</t>
  </si>
  <si>
    <t>73783/5</t>
  </si>
  <si>
    <t>73783/6</t>
  </si>
  <si>
    <t>73783/8</t>
  </si>
  <si>
    <t>73783/9</t>
  </si>
  <si>
    <t>73783/10</t>
  </si>
  <si>
    <t>73783/11</t>
  </si>
  <si>
    <t>73783/12</t>
  </si>
  <si>
    <t>73783/14</t>
  </si>
  <si>
    <t>73783/15</t>
  </si>
  <si>
    <t>73783/16</t>
  </si>
  <si>
    <t>73783/17</t>
  </si>
  <si>
    <t>73769/1</t>
  </si>
  <si>
    <t>73769/2</t>
  </si>
  <si>
    <t>73769/3</t>
  </si>
  <si>
    <t>73769/4</t>
  </si>
  <si>
    <t>74231/1</t>
  </si>
  <si>
    <t>GRAMPO PARALELO EM ALUMINIO FUNDIDO OU ESTRUDADO DE 2 PARAFUSOS, PARA CABO DE 6 A 50 MM2, PASTA ANTIOXIDANTE. FORNEC E INSTALAÇÃO.</t>
  </si>
  <si>
    <t>ALCA PRE-FORMADA DISTRIBUIÇÃO EM  ACO RECOBERTO COM ALUMINIO PARA CABO 25MM2, ENCAPADO. FORNECIMENTO E INSTALAÇÃO.</t>
  </si>
  <si>
    <t>LACO DE ROLDANA PRE-FORMADO ACO RECOBERTO DE ALUMINIO PARA CABO DE ALUMINIO NU BITOLA 25MM2 - FORNECIMENTO E COLOCACAO</t>
  </si>
  <si>
    <t>ALCA PRE-FORMADA DISTRIBUICAO EM ACO RECOBERTO COM ALUMINIO NU PARA CABO 25MM2, ENCAPADO. FORNECIMENTO E INSTALACAO.</t>
  </si>
  <si>
    <t>ALCA PRE-FORMADA SERV DE ACO RECOB C/ALUM NU ENCAPADO 25MM2 (BITOLA)  CONF PROJ A4-148-CP RIOLUZ FORNECIMENTO E COLOCACAO</t>
  </si>
  <si>
    <t>ARMACAO SECUNDARIA OU REX COMPLETA PARA DUAS LINHAS-FORNECIMENTO E INSTALACAO.</t>
  </si>
  <si>
    <t>ARMACAO SECUNDARIA OU REX COMPLETA PARA QUATRO LINHAS-FORNECIMENTO E INSTALACAO.</t>
  </si>
  <si>
    <t>ARMACAO SECUNDARIA OU REX COMPLETA PARA TRESLINHAS-FORNECIMENTO E INSTALACAO.</t>
  </si>
  <si>
    <t>SUPORTE PARA TRANSFORMADOR EM POSTE DE CONCRETO CIRCULAR</t>
  </si>
  <si>
    <t>CHUMBADOR DE AÇO PARA FIXAÇÃO DE POSTE DE ACO RETO OU CURVO 7 A 9M COM FLANGE - FORNECIMENTO E INSTALACAO</t>
  </si>
  <si>
    <t>TRANSFORMADOR DISTRIBUICAO  75KVA TRIFASICO 60HZ CLASSE 15KV IMERSO EM ÓLEO MINERAL FORNECIMENTO E INSTALACAO</t>
  </si>
  <si>
    <t>TRANSFORMADOR DISTRIBUICAO  112,5KVA TRIFASICO 60HZ CLASSE 15KV IMERSO EM ÓLEO MINERAL FORNECIMENTO E INSTALACAO</t>
  </si>
  <si>
    <t>TRANSFORMADOR DISTRIBUICAO  150KVA TRIFASICO 60HZ CLASSE 15KV IMERSO EM ÓLEO MINERAL FORNECIMENTO E INSTALACAO</t>
  </si>
  <si>
    <t>TRANSFORMADOR DISTRIBUICAO  225KVA TRIFASICO 60HZ CLASSE 15KV IMERSO EM ÓLEO MINERAL FORNECIMENTO E INSTALACAO</t>
  </si>
  <si>
    <t>TRANSFORMADOR DISTRIBUICAO  300KVA TRIFASICO 60HZ CLASSE 15KV IMERSO EM ÓLEO MINERAL FORNECIMENTO E INSTALACAO</t>
  </si>
  <si>
    <t>TRANSFORMADOR DISTRIBUICAO  500KVA TRIFASICO 60HZ CLASSE 15KV IMERSO EM ÓLEO MINERAL FORNECIMENTO E INSTALACAO</t>
  </si>
  <si>
    <t>TRANSFORMADOR DISTRIBUICAO  30KVA TRIFASICO 60HZ CLASSE 15KV IMERSO EM ÓLEO MINERAL FORNECIMENTO E INSTALACAO</t>
  </si>
  <si>
    <t>TRANSFORMADOR DISTRIBUICAO  45KVA TRIFASICO 60HZ CLASSE 15KV IMERSO EM ÓLEO MINERAL FORNECIMENTO E INSTALACAO</t>
  </si>
  <si>
    <t>TRANSFORMADOR DISTRIBUICAO  750KVA TRIFASICO 60HZ CLASSE 15KV IMERSO EM ÓLEO MINERAL FORNECIMENTO E INSTALACAO</t>
  </si>
  <si>
    <t>TRANSFORMADOR DISTRIBUICAO  1000KVA TRIFASICO 60HZ CLASSE 15KV IMERSO EM ÓLEO MINERAL FORNECIMENTO E INSTALACAO</t>
  </si>
  <si>
    <t>MUFLA TERMINAL PRIMARIA UNIPOLAR USO INTERNO PARA CABO 35/120MM2, ISOLACAO 15/25KV EM EPR - BORRACHA DE SILICONE. FORNECIMENTO E INSTALACAO.</t>
  </si>
  <si>
    <t>ISOLADOR DE PINO TP HI-POT CILINDRICO CLASSE 15KV. FORNECIMENTO E INSTALACAO.</t>
  </si>
  <si>
    <t>ISOLADOR DE SUSPENSAO (DISCO) TP CAVILHA CLASSE 15KV - 6''. FORNECIMENTO E INSTALACAO.</t>
  </si>
  <si>
    <t>CHAVE SECCIONADORA TRIPOLAR, ABERTURA SOB CARGA, COM FUSÍVEIS NH - 100A/250V - FORNECIMENTO E INSTALACAO</t>
  </si>
  <si>
    <t>CHAVE SECCIONADORA TRIPOLAR, ABERTURA SOB CARGA, COM FUSÍVEIS NH - 200A/250V</t>
  </si>
  <si>
    <t>SECCIONADOR TRIPOLAR 15KV/400A ACIONAM SIMULT VARA MANOBRA (MANOBRA) - FORNECIMENTO E INSTALACAO</t>
  </si>
  <si>
    <t>SECCIONADOR TRIPOLAR 15KV/400A ACIONAM SIMULT PUNHO MANOBRA (COMANDO) - FORNECIMENTO E INSTALACAO</t>
  </si>
  <si>
    <t>FUSÍVEL TIPO "DIAZED", TIPO RÁPIDO OU RETARDADO - 2/25A - FORNECIMENTO E INSTALACAO</t>
  </si>
  <si>
    <t>FUSÍVEL TIPO "DIAZED", TIPO RÁPIDO OU RETARDADO - 35/63A - FORNECIMENTO E INSTALACAO</t>
  </si>
  <si>
    <t>FUSÍVEL TIPO NH 200A - TAMANHO 01 - FORNECIMENTO E INSTALACAO</t>
  </si>
  <si>
    <t>FUSIVEL TIPO NH 250A - TAMANHO 01 - FORNECIMENTO E INSTALACAO</t>
  </si>
  <si>
    <t>FUSIVEL TIPO NH 250 A, TAMANHO 1 - FORNECIMENTO E INSTALACAO</t>
  </si>
  <si>
    <t>BASE PARA FUSIVEL (PORTA-FUSIVEL) NH 01 250A</t>
  </si>
  <si>
    <t>CHAVE FUSIVEL UNIPOLAR, 15KV - 100A, EQUIPADA COM COMANDO PARA HASTE DE MANOBRA .       FORNECIMENTO E INSTALAÇÃO.</t>
  </si>
  <si>
    <t>CHAVE BLINDADA TRIPOLAR 250V, 30A - FORNECIMENTO E INSTALACAO</t>
  </si>
  <si>
    <t>CHAVE BLINDADA TRIPOLAR 250V, 60A - FORNECIMENTO E INSTALACAO</t>
  </si>
  <si>
    <t>CHAVE BLINDADA TRIPOLAR 250V, 100A - FORNECIMENTO E INSTALACAO</t>
  </si>
  <si>
    <t>CHAVE FACA TRIPOLAR BLINDADA 250V/30A - FORNECIMENTO E INSTALACAO</t>
  </si>
  <si>
    <t>CHAVE GUARDA MOTOR TRIFASICO 5CV/220V C/ CHAVE MAGNETICA - FORNECIMENTO E INSTALACAO</t>
  </si>
  <si>
    <t>CHAVE GUARDA MOTOR TRIFISICA 10CV/220V C/ CHAVE MAGNETICA - FORNECIMENTO E INSTALACAO</t>
  </si>
  <si>
    <t>POSTE CONCRETO SECAO CIRCULAR COMPRIMENTO=5M CARGA NOMINAL TOPO 100KG INCLUSIVE ESCAVACAO EXCLUSIVE TRANSPORTE - FORNECIMENTO E COLOCACAO</t>
  </si>
  <si>
    <t>POSTE CONCRETO SEÇÃO CIRCULAR COMPRIMENTO=5M CARGA NOMINAL TOPO 300KG INCLUSIVE ESCAVACAO EXCLUSIVE TRANSPORTE - FORNECIMENTO E COLOCAÇÃO</t>
  </si>
  <si>
    <t>POSTE CONCRETO SEÇÃO CIRCULAR COMPRIMENTO=7M CARGA NOMINAL TOPO 100KG INCLUSIVE ESCAVACAO EXCLUSIVE TRANSPORTE - FORNECIMENTO E COLOCAÇÃO</t>
  </si>
  <si>
    <t>POSTE CONCRETO SEÇÃO CIRCULAR COMPRIMENTO=7M CARGA NOMINAL TOPO 200KG INCLUSIVE ESCAVACAO EXCLUSIVE TRANSPORTE - FORNECIMENTO E COLOCAÇÃO</t>
  </si>
  <si>
    <t>POSTE CONCRETO SEÇÃO CIRCULAR COMPRIMENTO=11M  E CARGA NOMINAL 200KG INCLUSIVE ESCAVACAO EXCLUSIVE TRANSPORTE - FORNECIMENTO E COLOCAÇÃO</t>
  </si>
  <si>
    <t>POSTE CONCRETO SEÇÃO CIRCULAR COMPRIMENTO=11M  CARGA NOMINAL NO TOPO 300KG INCLUSIVE ESCAVACAO EXCLUSIVE TRANSPORTE - FORNECIMENTO E COLOCAÇÃO</t>
  </si>
  <si>
    <t>POSTE CONCRETO SEÇÃO CIRCULAR COMPRIMENTO=11M  CARGA NOMINAL NO TOPO 400KG INCLUSIVE ESCAVACAO EXCLUSIVE TRANSPORTE - FORNECIMENTO E COLOCAÇÃO</t>
  </si>
  <si>
    <t>POSTE CONCRETO SEÇÃO CIRCULAR COMPRIMENTO=14M  CARGA NOMINAL NO TOPO 400KG INCLUSIVE ESCAVACAO EXCLUSIVE TRANSPORTE - FORNECIMENTO E COLOCAÇÃO</t>
  </si>
  <si>
    <t>POSTE CONCRETO SEÇÃO CIRCULAR COMPRIMENTO=7M CARGA NOMINAL NO TOPO 300KG INCLUSIVE ESCAVACAO EXCLUSIVE TRANSPORTE - FORNECIMENTO E COLOCAÇÃO</t>
  </si>
  <si>
    <t>POSTE CONCRETO SEÇÃO CIRCULAR COMPRIMENTO=9M CARGA NOMINAL NO TOPO 200KG INCLUSIVE ESCAVACAO EXCLUSIVE TRANSPORTE - FORNECIMENTO E COLOCAÇÃO</t>
  </si>
  <si>
    <t>POSTE CONCRETO SEÇÃO CIRCULAR COMPRIMENTO=9M CARGA NOMINAL NO TOPO 300KG INCLUSIVE ESCAVACAO EXCLUSIVE TRANSPORTE - FORNECIMENTO E COLOCAÇÃO</t>
  </si>
  <si>
    <t>POSTE CONCRETO SEÇÃO CIRCULAR COMPRIMENTO=9M CARGA NOMINAL NO TOPO 400KG INCLUSIVE ESCAVACAO EXCLUSIVE TRANSPORTE - FORNECIMENTO E COLOCAÇÃO</t>
  </si>
  <si>
    <t>POSTE CONCRETO SEÇÃO CIRCULAR COMPRIMENTO=10M CARGA NOMINAL NO TOPO 600KG INCLUSIVE ESCAVACAO EXCLUSIVE TRANSPORTE - FORNECIMENTO E COLOCAÇÃO</t>
  </si>
  <si>
    <t>POSTE DE CONCRETO DUPLO T H=11M E CARGA NOMINAL 200KG INCLUSIVE ESCAVACAO, EXCLUSIVE TRANSPORTE - FORNECIMENTO E INSTALACAO</t>
  </si>
  <si>
    <t>POSTE DE CONCRETO DUPLO T H=9M CARGA NOMINAL 300KG INCLUSIVE ESCAVACAO, EXCLUSIVE TRANSPORTE - FORNECIMENTO E INSTALACAO</t>
  </si>
  <si>
    <t>POSTE DE CONCRETO DUPLO T H=9M CARGA NOMINAL 500KG INCLUSIVE ESCAVACAO, EXCLUSIVE TRANSPORTE - FORNECIMENTO E INSTALACAO</t>
  </si>
  <si>
    <t>POSTE DE CONCRETO DUPLO T H=10M CARGA NOMINAL 300KG INCLUSIVE ESCAVACAO, EXCLUSIVE TRANSPORTE - FORNECIMENTO E INSTALACAO</t>
  </si>
  <si>
    <t>POSTE ACO CONICO CONTINUO CURVO SIMPLES SEM BASE C/JANELA 9M (INSPECAO) - FORNECIMENTO E INSTALACAO</t>
  </si>
  <si>
    <t>POSTE DE AÇO CONICO CONTÍNUO CURVO SIMPLES, FLANGEADO, COM JANELA DE INSPEÇÃO H=9M - FORNECIMENTO E INSTALACAO</t>
  </si>
  <si>
    <t>POSTE DE ACO CONICO CONTINUO CURVO DUPLO, FLANGEADO, COM JANELA DE INSPECAO H=9M - FORNECIMENTO E INSTALACAO</t>
  </si>
  <si>
    <t>POSTE DE ACO CONICO CONTINUO RETO, FLANGEADO, H=9M - FORNECIMENTO E INSTALACAO</t>
  </si>
  <si>
    <t>BRAÇO P/ ILUMINAÇÃO DE RUAS EM TUBO AÇO GALV 1" COMP = 1,20M E INCLINAÇÃO 25GRAUS EM RELACAO AO PLANO VERTICAL P/ FIXAÇÃO EM POSTE OU PAREDE - FORNECIMENTO E INSTALAÇÃO</t>
  </si>
  <si>
    <t>BRAÇO P/ ILUMINAÇÃO DE RUAS, EM TUBO AÇO GALV 3/4", COMP = 1,5M P/FIXAÇÃO EM POSTE OU PAREDE - FORNECIMENTO E INSTALAÇÃO</t>
  </si>
  <si>
    <t>ABRAÇADEIRA DE FIXAÇÃO DE BRAÇOS DE LUMINÁRIAS DE 4" - FORNECIMENTO E INSTALAÇÃO</t>
  </si>
  <si>
    <t>LUMINÁRIA ABERTA PARA ILUMINAÇÃO PUBLICA, PARA LÂMPADA A VAPOR DE MERCÚRIO ATÉ 400W E MISTA ATÉ 500W, COM BRAÇO EM TUBO DE AÇO GALV D=50MM PROJ HOR=2.500MM E PROJ VERT= 2.200MM, FORNECIMENTO E INSTALAÇÃO</t>
  </si>
  <si>
    <t>LUMINÁRIA FECHADA PARA ILUMINAÇÃO PUBLICA COM REATOR DE PARTIDA RÁPIDA COM LÂMPADA A VAPOR DE MERCÚRIO 250W - FORNECIMENTO E INSTALAÇÃO</t>
  </si>
  <si>
    <t>LUMINÁRIA FECHADA PARA ILUMINAÇÃO PUBLICA - LÂMPADAS DE 250/500W - FORNECIMENTO E INSTALAÇÃO (EXCLUINDO LÂMPADAS)</t>
  </si>
  <si>
    <t>SERVIÇOS EXTRAS - ILUMINAÇÃO PÚBLICA</t>
  </si>
  <si>
    <t xml:space="preserve">Colchão de Brita/Pó de Pedra </t>
  </si>
  <si>
    <t>Lastro de Concreto Simples</t>
  </si>
  <si>
    <t xml:space="preserve">Colchão de Areia ( Rio / Jazida ) </t>
  </si>
  <si>
    <t>Local da Obra :</t>
  </si>
  <si>
    <t>Corpo de BSTC ø 0,70 Sem Berço c/ Armação Símples CA-1</t>
  </si>
  <si>
    <t>Corpo de BSTC ø 0,90 Sem Berço c/ Armação Símples CA-1</t>
  </si>
  <si>
    <t>Corpo de BSTC ø 0,50 Sem Berço c/ Armação Símples CA-1</t>
  </si>
  <si>
    <t>610600b</t>
  </si>
  <si>
    <t>Corpo de BSTC ø 0,50 Sem Berço c/ Armação Dupla CA-2</t>
  </si>
  <si>
    <t>610800b</t>
  </si>
  <si>
    <t>Corpo de BSTC ø 0,70 Sem Berço c/ Armação Dupla CA-2</t>
  </si>
  <si>
    <t>611000b</t>
  </si>
  <si>
    <t>Corpo de BSTC ø 0,90 Sem Berço c/ Armação Dupla CA-2</t>
  </si>
  <si>
    <t>610700b</t>
  </si>
  <si>
    <t>Corpo de BSTC ø 0,50 Com Berço c/ Armação Dupla CA-2</t>
  </si>
  <si>
    <t>610900b</t>
  </si>
  <si>
    <t>Corpo de BSTC ø 0,70 Com Berço c/ Armação Dupla CA-2</t>
  </si>
  <si>
    <t>611100b</t>
  </si>
  <si>
    <t>Corpo de BSTC ø 0,90 Com Berço c/ Armação Dupla CA-2</t>
  </si>
  <si>
    <t>TOTAL DO PAVIMENTO (1-2-3-4-5)</t>
  </si>
  <si>
    <t>TOTAL DE ILUMINAÇÃO PÚBLICA (8)</t>
  </si>
  <si>
    <t>TOTAL DE SEVIÇOS DIVERSOS (9)</t>
  </si>
  <si>
    <t>TOTAL DE DRENAGEM (10)</t>
  </si>
  <si>
    <t>TOTAL DE URBANISMO E SINALIZAÇÃO(6-7)</t>
  </si>
  <si>
    <t>Remoção manual de entulho</t>
  </si>
  <si>
    <t>411000a</t>
  </si>
  <si>
    <t>Remoção de Revestimento Primário</t>
  </si>
  <si>
    <t>Demolição Mecânica de Pavimento e Transporte</t>
  </si>
  <si>
    <t>SERVIÇOS EXTRAS - SERVIÇOS DIVERSOS</t>
  </si>
  <si>
    <t>Remanejamento postes linha transmissão</t>
  </si>
  <si>
    <t>11</t>
  </si>
  <si>
    <t>74022/14</t>
  </si>
  <si>
    <t xml:space="preserve">Ensaio de Massa Específica - In Situ - Método Frasco de Areia (Grau de Compactação) - Terraplenagem </t>
  </si>
  <si>
    <t xml:space="preserve">Ensaio de Massa Específica - In Situ - Método Frasco de Areia (Grau de Compactação) - Reforço do Subleito </t>
  </si>
  <si>
    <t>Ensaio de Massa Específica - In Situ - Método Frasco de Areia (Grau de Compactação) - Regularização e Compactação do Subleito</t>
  </si>
  <si>
    <t>Ensaio de Massa Específica - In Situ - Método Frasco de Areia (Grau de Compactação) - Sub-base e Base</t>
  </si>
  <si>
    <t>74022/52</t>
  </si>
  <si>
    <t>Ensaio de Granulometria do Agregado</t>
  </si>
  <si>
    <t>74022/27</t>
  </si>
  <si>
    <t>Ensaio de Controle de Taxa de Aplicação de Ligante Betuminoso</t>
  </si>
  <si>
    <t>74022/50</t>
  </si>
  <si>
    <t>Ensaio de Determinação da Taxa de Espalhamento do Agregado</t>
  </si>
  <si>
    <t>74022/35</t>
  </si>
  <si>
    <t>Ensaio de Percentagem de Betume - Misturas Betuminosas</t>
  </si>
  <si>
    <t>74022/53</t>
  </si>
  <si>
    <t>Ensaio de Controle do Grau de Compactação da Mistura Asfáltica</t>
  </si>
  <si>
    <t>74022/56</t>
  </si>
  <si>
    <t>Ensaio de Densidade do Material Betuminoso</t>
  </si>
  <si>
    <t>SERVIÇOS EXTRAS - ENSAIOS TECNOLÓGICOS</t>
  </si>
  <si>
    <t>gb</t>
  </si>
  <si>
    <t>DAER/RS</t>
  </si>
  <si>
    <t>TOTAL DE ENSAIOS TECNOLÓGICOS (11)</t>
  </si>
  <si>
    <t>ENSAIOS TECNOLÓGICOS
(Os custos com mobilização e desmobilização de equipe e equipamentos para a extração de amostras para os ensaios tecnológicos, exceto da capa asfáltica, serão de responsabilidade da empresa executora da obra.)</t>
  </si>
  <si>
    <t>Extração de corpo de prova de concreto asfáltico com sonda rotativa</t>
  </si>
  <si>
    <t>Mobilização e desmobilização de equipamento e equipe para extração de corpos de prova da capa asfáltica.</t>
  </si>
  <si>
    <t xml:space="preserve">     </t>
  </si>
  <si>
    <t>%</t>
  </si>
  <si>
    <t>620600a</t>
  </si>
  <si>
    <t>620600b</t>
  </si>
  <si>
    <t>621000a</t>
  </si>
  <si>
    <t>621000b</t>
  </si>
  <si>
    <t>560100A</t>
  </si>
  <si>
    <t>560100B</t>
  </si>
  <si>
    <t>Imprimação com Emulsão EAI ( Araucária )</t>
  </si>
  <si>
    <t>A</t>
  </si>
  <si>
    <t>560100C</t>
  </si>
  <si>
    <t>560100D</t>
  </si>
  <si>
    <t>DER setembro 2017</t>
  </si>
  <si>
    <t>Fincadinha de concreto - (5x22,5x45cm-0,01125m3/m)</t>
  </si>
  <si>
    <t>85335A</t>
  </si>
  <si>
    <t>820000I</t>
  </si>
  <si>
    <t>820000J</t>
  </si>
  <si>
    <t>820000K</t>
  </si>
  <si>
    <t>820000L</t>
  </si>
  <si>
    <t>BDI (%) - SERVIÇOS</t>
  </si>
  <si>
    <t>BDI (%) - BETUMES</t>
  </si>
  <si>
    <t xml:space="preserve">ISS = </t>
  </si>
  <si>
    <t xml:space="preserve">PIS = </t>
  </si>
  <si>
    <t xml:space="preserve">FINSOCIAL = </t>
  </si>
  <si>
    <t xml:space="preserve">CPMF = </t>
  </si>
  <si>
    <t>BDI médio do Projeto</t>
  </si>
  <si>
    <t>Valor Total sem BDI</t>
  </si>
  <si>
    <t>Valor Total com BDI</t>
  </si>
  <si>
    <r>
      <rPr>
        <sz val="14"/>
        <rFont val="Symbol"/>
        <family val="1"/>
        <charset val="2"/>
      </rPr>
      <t>S</t>
    </r>
    <r>
      <rPr>
        <sz val="14"/>
        <rFont val="Arial"/>
        <family val="2"/>
      </rPr>
      <t xml:space="preserve"> =  </t>
    </r>
  </si>
  <si>
    <t>BDI arredondado</t>
  </si>
  <si>
    <t>BDI Insumos de Petróleo</t>
  </si>
  <si>
    <t>Substituir pelo ISS calculado para o município *</t>
  </si>
  <si>
    <t>*</t>
  </si>
  <si>
    <t>1 - Solicitar o valor do ISS do município</t>
  </si>
  <si>
    <t>2- Solicitar a "Base de Cálculo" (% de mão de Obra)</t>
  </si>
  <si>
    <t>3- Solicitar a "Base de Cálculo" (% de mão de Obra)</t>
  </si>
  <si>
    <t>exemplo</t>
  </si>
  <si>
    <t>=5,00 x 40,00 = 2,00</t>
  </si>
  <si>
    <t>5- Substituir o ISS calculado na Célula "C2"</t>
  </si>
  <si>
    <t>4- Valor do ISS calculado</t>
  </si>
  <si>
    <t>ADMINISTRAÇÃO</t>
  </si>
  <si>
    <t>DER/dnit</t>
  </si>
  <si>
    <t>Calçada Concreto ( e = 6,00 cm )</t>
  </si>
  <si>
    <t>Calçada Concreto ( e = 7,00 cm )</t>
  </si>
  <si>
    <t>Limpeza e desobstrução de bueiros simples</t>
  </si>
  <si>
    <t>Limpeza e desobstrução de bueiros duplos</t>
  </si>
  <si>
    <t>Limpeza e desobstrução de bueiros triplos</t>
  </si>
  <si>
    <t>532500e</t>
  </si>
  <si>
    <t>Boca de saída de dreno ø 0,20</t>
  </si>
  <si>
    <t>620000a</t>
  </si>
  <si>
    <t>Boca (Ala) de BSTC ø 0,30 m</t>
  </si>
  <si>
    <t>620000b</t>
  </si>
  <si>
    <t>620000c</t>
  </si>
  <si>
    <t>Boca (Ala) de BSTC ø 0,50 m</t>
  </si>
  <si>
    <t>620100a</t>
  </si>
  <si>
    <t>Boca (Ala) de BSTC ø 0,70 m</t>
  </si>
  <si>
    <t>610400a</t>
  </si>
  <si>
    <t>610400b</t>
  </si>
  <si>
    <t>610600a</t>
  </si>
  <si>
    <t>610800a</t>
  </si>
  <si>
    <t>610600c</t>
  </si>
  <si>
    <t>610800c</t>
  </si>
  <si>
    <t>611000c</t>
  </si>
  <si>
    <t>611200b</t>
  </si>
  <si>
    <t>611400b</t>
  </si>
  <si>
    <t>611600b</t>
  </si>
  <si>
    <r>
      <t xml:space="preserve">Valor Total </t>
    </r>
    <r>
      <rPr>
        <b/>
        <sz val="10"/>
        <rFont val="MS Sans Serif"/>
        <family val="2"/>
      </rPr>
      <t>com</t>
    </r>
    <r>
      <rPr>
        <sz val="10"/>
        <rFont val="MS Sans Serif"/>
        <family val="2"/>
      </rPr>
      <t xml:space="preserve"> BDI - paranacidade</t>
    </r>
  </si>
  <si>
    <r>
      <t xml:space="preserve">Valor Total </t>
    </r>
    <r>
      <rPr>
        <b/>
        <sz val="10"/>
        <rFont val="MS Sans Serif"/>
        <family val="2"/>
      </rPr>
      <t>sem</t>
    </r>
    <r>
      <rPr>
        <sz val="10"/>
        <rFont val="MS Sans Serif"/>
        <family val="2"/>
      </rPr>
      <t xml:space="preserve"> BDI - paranacidade</t>
    </r>
  </si>
  <si>
    <r>
      <t>Digite  "</t>
    </r>
    <r>
      <rPr>
        <b/>
        <sz val="10"/>
        <rFont val="MS Sans Serif"/>
        <family val="2"/>
      </rPr>
      <t>X</t>
    </r>
    <r>
      <rPr>
        <sz val="10"/>
        <rFont val="MS Sans Serif"/>
        <family val="2"/>
      </rPr>
      <t>" para obter Valor Total sem BDI</t>
    </r>
  </si>
  <si>
    <t>PAVIMENTAÇÃO</t>
  </si>
  <si>
    <t>Calçada Concreto ( e = 8,00 cm )</t>
  </si>
  <si>
    <t>ENSAIOS TECNOLÓGICOS</t>
  </si>
  <si>
    <t>CASCAVEL</t>
  </si>
  <si>
    <t>14.634.184-5</t>
  </si>
  <si>
    <t>SAM 31 LOTE 01</t>
  </si>
  <si>
    <t>PERIMETRO URBANO</t>
  </si>
  <si>
    <t>SANTO ANTONIO DO SUDOESTE</t>
  </si>
  <si>
    <t>RECAPE ASFÁLTICO</t>
  </si>
  <si>
    <t>31</t>
  </si>
  <si>
    <t>01</t>
  </si>
  <si>
    <t>.</t>
  </si>
  <si>
    <t>P.A.M</t>
  </si>
  <si>
    <r>
      <t>SECRETARIA DE ESTADO DO DESENVOLVIMENTO URBANO -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SEDU</t>
    </r>
  </si>
  <si>
    <t>F.P</t>
  </si>
  <si>
    <t>C.P.M.</t>
  </si>
  <si>
    <t>CRONOGRAMA FÍSICO FINANCEIRO</t>
  </si>
  <si>
    <t>GRUPO</t>
  </si>
  <si>
    <t>SERVIÇOS</t>
  </si>
  <si>
    <t>PARCELAS (%)</t>
  </si>
  <si>
    <t>% S/</t>
  </si>
  <si>
    <t>Controle</t>
  </si>
  <si>
    <t>ITEM</t>
  </si>
  <si>
    <t>ITEM (R$)</t>
  </si>
  <si>
    <t>311.01</t>
  </si>
  <si>
    <t>311.02</t>
  </si>
  <si>
    <t>311.03</t>
  </si>
  <si>
    <t>311.04</t>
  </si>
  <si>
    <t>311.05</t>
  </si>
  <si>
    <t>311.06</t>
  </si>
  <si>
    <t>311.07</t>
  </si>
  <si>
    <t>311.08</t>
  </si>
  <si>
    <t>ILUMINAÇÃO PUBLICA</t>
  </si>
  <si>
    <t>311.09</t>
  </si>
  <si>
    <t>311.10</t>
  </si>
  <si>
    <t>311.11</t>
  </si>
  <si>
    <t>TOTAIS</t>
  </si>
  <si>
    <t>COMPOSIÇÃO DO FINANCIAMENTO</t>
  </si>
  <si>
    <t>PARCELAS</t>
  </si>
  <si>
    <t>FINANCIAMENTO</t>
  </si>
  <si>
    <t>R$</t>
  </si>
  <si>
    <t>CONTRAPARTIDA</t>
  </si>
  <si>
    <t>SUB-</t>
  </si>
  <si>
    <t>FATURAMENTO MENSAL PREVISTO</t>
  </si>
  <si>
    <t>MENSAL PREVISTO EM %</t>
  </si>
  <si>
    <t>Resp. Técnico:</t>
  </si>
  <si>
    <t>Assinatura:</t>
  </si>
  <si>
    <t>data:</t>
  </si>
  <si>
    <t xml:space="preserve">PAVIMENTAÇÃO COM CONCRETO BETUMINOSO USINADO A QUENTE - CBUQ </t>
  </si>
  <si>
    <t>TON</t>
  </si>
  <si>
    <t>xx</t>
  </si>
  <si>
    <t>aprovado</t>
  </si>
  <si>
    <t>CBUQ (Quantidade menor que 10000 toneladas) - reperfilamento</t>
  </si>
  <si>
    <t>CBUQ (Quantidade menor que 10000 toneladas) - capa</t>
  </si>
  <si>
    <t>33</t>
  </si>
  <si>
    <t xml:space="preserve">DISTRITO DE SÃO PEDRO FLORIDO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</si>
</sst>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0_);_(* \(#,##0.00\);_(* &quot;-&quot;??_);_(@_)"/>
    <numFmt numFmtId="165" formatCode="&quot;R$&quot;#,##0.00_);\(&quot;R$&quot;#,##0.00\)"/>
    <numFmt numFmtId="166" formatCode="0.000"/>
    <numFmt numFmtId="167" formatCode="0.0000"/>
    <numFmt numFmtId="168" formatCode="#,##0.00\ &quot;/m2&quot;_);[Red]\(#,##0.00\ &quot;/m2&quot;\)"/>
    <numFmt numFmtId="169" formatCode="0.0%"/>
  </numFmts>
  <fonts count="50"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1"/>
      <name val="Tahoma"/>
      <family val="2"/>
    </font>
    <font>
      <b/>
      <sz val="14"/>
      <color indexed="81"/>
      <name val="Tahoma"/>
      <family val="2"/>
    </font>
    <font>
      <sz val="9"/>
      <color indexed="81"/>
      <name val="Tahoma"/>
      <family val="2"/>
    </font>
    <font>
      <sz val="14"/>
      <color indexed="81"/>
      <name val="Tahoma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6"/>
      <color theme="1"/>
      <name val="Arial"/>
      <family val="2"/>
    </font>
    <font>
      <sz val="8"/>
      <color indexed="81"/>
      <name val="Segoe UI"/>
      <family val="2"/>
    </font>
    <font>
      <b/>
      <sz val="8"/>
      <color indexed="81"/>
      <name val="Segoe UI"/>
      <family val="2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81"/>
      <name val="Segoe UI"/>
      <family val="2"/>
    </font>
    <font>
      <b/>
      <sz val="12"/>
      <color indexed="81"/>
      <name val="Segoe UI"/>
      <family val="2"/>
    </font>
    <font>
      <sz val="14"/>
      <color theme="3" tint="0.39997558519241921"/>
      <name val="Arial"/>
      <family val="2"/>
    </font>
    <font>
      <sz val="14"/>
      <name val="Arial"/>
      <family val="1"/>
      <charset val="2"/>
    </font>
    <font>
      <sz val="14"/>
      <name val="Symbol"/>
      <family val="1"/>
      <charset val="2"/>
    </font>
    <font>
      <b/>
      <sz val="14"/>
      <color rgb="FF0000CC"/>
      <name val="Arial"/>
      <family val="2"/>
    </font>
    <font>
      <b/>
      <sz val="14"/>
      <color rgb="FF0000CC"/>
      <name val="MS Sans Serif"/>
      <family val="2"/>
    </font>
    <font>
      <sz val="14"/>
      <name val="MS Sans Serif"/>
      <family val="2"/>
    </font>
    <font>
      <b/>
      <sz val="10"/>
      <name val="MS Sans Serif"/>
      <family val="2"/>
    </font>
    <font>
      <b/>
      <sz val="8"/>
      <name val="MS Sans Serif"/>
      <family val="2"/>
    </font>
    <font>
      <sz val="10"/>
      <name val="Algerian"/>
      <family val="5"/>
    </font>
    <font>
      <b/>
      <sz val="1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9"/>
      <name val="Times New Roman"/>
      <family val="1"/>
    </font>
    <font>
      <sz val="8"/>
      <color indexed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</fills>
  <borders count="1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dashDotDot">
        <color auto="1"/>
      </bottom>
      <diagonal/>
    </border>
    <border>
      <left style="hair">
        <color indexed="64"/>
      </left>
      <right style="hair">
        <color indexed="64"/>
      </right>
      <top/>
      <bottom style="dashDotDot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7" fillId="0" borderId="0"/>
    <xf numFmtId="0" fontId="29" fillId="0" borderId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15">
    <xf numFmtId="0" fontId="0" fillId="0" borderId="0" xfId="0"/>
    <xf numFmtId="167" fontId="8" fillId="0" borderId="6" xfId="1" applyNumberFormat="1" applyFont="1" applyFill="1" applyBorder="1" applyAlignment="1">
      <alignment horizontal="center"/>
    </xf>
    <xf numFmtId="0" fontId="0" fillId="0" borderId="0" xfId="0" applyFill="1"/>
    <xf numFmtId="0" fontId="6" fillId="0" borderId="8" xfId="0" applyFont="1" applyFill="1" applyBorder="1" applyAlignment="1">
      <alignment horizontal="left"/>
    </xf>
    <xf numFmtId="0" fontId="8" fillId="0" borderId="0" xfId="0" applyFont="1" applyFill="1" applyAlignment="1"/>
    <xf numFmtId="1" fontId="8" fillId="0" borderId="6" xfId="1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/>
    <xf numFmtId="0" fontId="6" fillId="0" borderId="9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2" fontId="6" fillId="0" borderId="6" xfId="1" applyNumberFormat="1" applyFont="1" applyFill="1" applyBorder="1" applyAlignment="1">
      <alignment horizontal="center" wrapText="1"/>
    </xf>
    <xf numFmtId="0" fontId="6" fillId="0" borderId="29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2" fontId="6" fillId="0" borderId="6" xfId="1" applyNumberFormat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textRotation="180" wrapText="1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wrapText="1"/>
    </xf>
    <xf numFmtId="2" fontId="8" fillId="0" borderId="8" xfId="1" applyNumberFormat="1" applyFont="1" applyFill="1" applyBorder="1" applyAlignment="1">
      <alignment horizontal="center"/>
    </xf>
    <xf numFmtId="2" fontId="8" fillId="0" borderId="2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1" applyFont="1" applyFill="1"/>
    <xf numFmtId="0" fontId="8" fillId="0" borderId="0" xfId="1" applyFont="1" applyFill="1" applyAlignment="1"/>
    <xf numFmtId="0" fontId="3" fillId="0" borderId="0" xfId="1" applyFill="1"/>
    <xf numFmtId="0" fontId="3" fillId="0" borderId="0" xfId="1" applyFill="1" applyAlignment="1">
      <alignment horizontal="center"/>
    </xf>
    <xf numFmtId="0" fontId="4" fillId="0" borderId="0" xfId="1" applyFont="1" applyFill="1"/>
    <xf numFmtId="0" fontId="5" fillId="0" borderId="0" xfId="1" applyFont="1" applyFill="1"/>
    <xf numFmtId="2" fontId="6" fillId="0" borderId="0" xfId="1" applyNumberFormat="1" applyFont="1" applyFill="1" applyBorder="1" applyAlignment="1">
      <alignment horizontal="center" wrapText="1"/>
    </xf>
    <xf numFmtId="0" fontId="8" fillId="2" borderId="0" xfId="0" applyFont="1" applyFill="1" applyAlignment="1"/>
    <xf numFmtId="0" fontId="1" fillId="2" borderId="9" xfId="0" applyFont="1" applyFill="1" applyBorder="1" applyAlignment="1">
      <alignment horizontal="left"/>
    </xf>
    <xf numFmtId="1" fontId="8" fillId="2" borderId="7" xfId="1" applyNumberFormat="1" applyFont="1" applyFill="1" applyBorder="1" applyAlignment="1">
      <alignment horizontal="center"/>
    </xf>
    <xf numFmtId="0" fontId="15" fillId="0" borderId="64" xfId="0" applyFont="1" applyFill="1" applyBorder="1" applyAlignment="1" applyProtection="1">
      <alignment horizontal="centerContinuous"/>
    </xf>
    <xf numFmtId="0" fontId="15" fillId="0" borderId="45" xfId="0" applyFont="1" applyFill="1" applyBorder="1" applyAlignment="1" applyProtection="1">
      <alignment horizontal="centerContinuous"/>
    </xf>
    <xf numFmtId="0" fontId="5" fillId="0" borderId="45" xfId="0" applyFont="1" applyFill="1" applyBorder="1" applyAlignment="1" applyProtection="1">
      <alignment horizontal="center" vertical="center" textRotation="90" wrapText="1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16" fillId="0" borderId="0" xfId="0" applyFont="1" applyFill="1" applyAlignment="1" applyProtection="1">
      <alignment horizontal="center"/>
    </xf>
    <xf numFmtId="0" fontId="3" fillId="8" borderId="10" xfId="1" applyFont="1" applyFill="1" applyBorder="1" applyAlignment="1" applyProtection="1">
      <alignment horizontal="center"/>
    </xf>
    <xf numFmtId="0" fontId="3" fillId="8" borderId="10" xfId="1" applyFont="1" applyFill="1" applyBorder="1" applyAlignment="1" applyProtection="1"/>
    <xf numFmtId="0" fontId="3" fillId="8" borderId="13" xfId="1" applyFont="1" applyFill="1" applyBorder="1" applyAlignment="1" applyProtection="1"/>
    <xf numFmtId="0" fontId="3" fillId="7" borderId="12" xfId="1" applyFont="1" applyFill="1" applyBorder="1" applyAlignment="1" applyProtection="1">
      <alignment horizontal="center"/>
    </xf>
    <xf numFmtId="0" fontId="3" fillId="7" borderId="10" xfId="1" applyFont="1" applyFill="1" applyBorder="1" applyAlignment="1" applyProtection="1"/>
    <xf numFmtId="164" fontId="3" fillId="7" borderId="10" xfId="3" applyFont="1" applyFill="1" applyBorder="1" applyAlignment="1" applyProtection="1">
      <alignment horizontal="center"/>
    </xf>
    <xf numFmtId="0" fontId="5" fillId="7" borderId="10" xfId="1" applyFont="1" applyFill="1" applyBorder="1" applyAlignment="1" applyProtection="1"/>
    <xf numFmtId="0" fontId="3" fillId="7" borderId="10" xfId="1" applyFont="1" applyFill="1" applyBorder="1" applyAlignment="1" applyProtection="1">
      <alignment horizontal="center"/>
    </xf>
    <xf numFmtId="0" fontId="3" fillId="7" borderId="13" xfId="1" applyFont="1" applyFill="1" applyBorder="1" applyAlignment="1" applyProtection="1"/>
    <xf numFmtId="0" fontId="3" fillId="7" borderId="10" xfId="0" applyFont="1" applyFill="1" applyBorder="1" applyProtection="1"/>
    <xf numFmtId="0" fontId="5" fillId="0" borderId="0" xfId="0" applyFont="1"/>
    <xf numFmtId="0" fontId="3" fillId="0" borderId="0" xfId="0" applyFont="1"/>
    <xf numFmtId="0" fontId="3" fillId="8" borderId="0" xfId="0" applyFont="1" applyFill="1" applyBorder="1" applyAlignment="1" applyProtection="1">
      <alignment horizontal="center"/>
    </xf>
    <xf numFmtId="0" fontId="18" fillId="8" borderId="3" xfId="1" applyFont="1" applyFill="1" applyBorder="1" applyAlignment="1" applyProtection="1">
      <alignment horizontal="left"/>
    </xf>
    <xf numFmtId="0" fontId="5" fillId="8" borderId="39" xfId="1" applyFont="1" applyFill="1" applyBorder="1" applyAlignment="1" applyProtection="1"/>
    <xf numFmtId="0" fontId="3" fillId="7" borderId="14" xfId="0" applyFont="1" applyFill="1" applyBorder="1" applyProtection="1"/>
    <xf numFmtId="0" fontId="18" fillId="7" borderId="0" xfId="1" applyFont="1" applyFill="1" applyBorder="1" applyAlignment="1" applyProtection="1"/>
    <xf numFmtId="164" fontId="3" fillId="7" borderId="0" xfId="3" applyFont="1" applyFill="1" applyBorder="1" applyAlignment="1" applyProtection="1">
      <alignment horizontal="center"/>
    </xf>
    <xf numFmtId="0" fontId="5" fillId="7" borderId="0" xfId="1" applyFont="1" applyFill="1" applyBorder="1" applyAlignment="1" applyProtection="1">
      <alignment horizontal="centerContinuous"/>
    </xf>
    <xf numFmtId="0" fontId="3" fillId="7" borderId="0" xfId="1" applyFont="1" applyFill="1" applyBorder="1" applyAlignment="1" applyProtection="1">
      <alignment horizontal="centerContinuous"/>
    </xf>
    <xf numFmtId="0" fontId="3" fillId="7" borderId="0" xfId="1" applyFont="1" applyFill="1" applyBorder="1" applyAlignment="1" applyProtection="1">
      <alignment horizontal="left"/>
    </xf>
    <xf numFmtId="0" fontId="3" fillId="7" borderId="15" xfId="1" applyFont="1" applyFill="1" applyBorder="1" applyAlignment="1" applyProtection="1">
      <alignment horizontal="left"/>
    </xf>
    <xf numFmtId="0" fontId="5" fillId="3" borderId="14" xfId="0" applyFont="1" applyFill="1" applyBorder="1" applyProtection="1"/>
    <xf numFmtId="0" fontId="3" fillId="3" borderId="0" xfId="0" applyFont="1" applyFill="1" applyBorder="1" applyProtection="1"/>
    <xf numFmtId="0" fontId="3" fillId="7" borderId="0" xfId="0" applyFont="1" applyFill="1" applyBorder="1" applyProtection="1"/>
    <xf numFmtId="0" fontId="3" fillId="0" borderId="0" xfId="0" applyFont="1" applyBorder="1"/>
    <xf numFmtId="0" fontId="3" fillId="0" borderId="15" xfId="0" applyFont="1" applyBorder="1"/>
    <xf numFmtId="0" fontId="3" fillId="7" borderId="14" xfId="1" applyFont="1" applyFill="1" applyBorder="1" applyAlignment="1" applyProtection="1">
      <alignment horizontal="center"/>
    </xf>
    <xf numFmtId="0" fontId="3" fillId="7" borderId="0" xfId="1" applyFont="1" applyFill="1" applyBorder="1" applyAlignment="1" applyProtection="1"/>
    <xf numFmtId="0" fontId="5" fillId="7" borderId="0" xfId="1" applyFont="1" applyFill="1" applyBorder="1" applyAlignment="1" applyProtection="1"/>
    <xf numFmtId="0" fontId="3" fillId="7" borderId="0" xfId="1" applyFont="1" applyFill="1" applyBorder="1" applyAlignment="1" applyProtection="1">
      <alignment horizontal="center"/>
    </xf>
    <xf numFmtId="0" fontId="3" fillId="7" borderId="15" xfId="1" applyFont="1" applyFill="1" applyBorder="1" applyAlignment="1" applyProtection="1"/>
    <xf numFmtId="0" fontId="3" fillId="3" borderId="14" xfId="0" applyFont="1" applyFill="1" applyBorder="1" applyProtection="1"/>
    <xf numFmtId="0" fontId="5" fillId="8" borderId="0" xfId="1" applyFont="1" applyFill="1" applyBorder="1" applyAlignment="1" applyProtection="1">
      <alignment horizontal="right"/>
    </xf>
    <xf numFmtId="0" fontId="5" fillId="8" borderId="0" xfId="1" applyFont="1" applyFill="1" applyBorder="1" applyAlignment="1" applyProtection="1">
      <protection locked="0"/>
    </xf>
    <xf numFmtId="0" fontId="5" fillId="8" borderId="15" xfId="1" applyFont="1" applyFill="1" applyBorder="1" applyAlignment="1" applyProtection="1">
      <protection locked="0"/>
    </xf>
    <xf numFmtId="0" fontId="5" fillId="8" borderId="15" xfId="1" applyFont="1" applyFill="1" applyBorder="1" applyAlignment="1" applyProtection="1"/>
    <xf numFmtId="0" fontId="5" fillId="8" borderId="11" xfId="1" applyFont="1" applyFill="1" applyBorder="1" applyAlignment="1" applyProtection="1">
      <alignment horizontal="right"/>
    </xf>
    <xf numFmtId="0" fontId="5" fillId="8" borderId="17" xfId="1" applyFont="1" applyFill="1" applyBorder="1" applyAlignment="1" applyProtection="1">
      <protection locked="0"/>
    </xf>
    <xf numFmtId="0" fontId="3" fillId="7" borderId="16" xfId="1" applyFont="1" applyFill="1" applyBorder="1" applyAlignment="1" applyProtection="1">
      <alignment horizontal="center"/>
    </xf>
    <xf numFmtId="0" fontId="3" fillId="7" borderId="11" xfId="1" applyFont="1" applyFill="1" applyBorder="1" applyAlignment="1" applyProtection="1"/>
    <xf numFmtId="164" fontId="3" fillId="7" borderId="11" xfId="3" applyFont="1" applyFill="1" applyBorder="1" applyAlignment="1" applyProtection="1">
      <alignment horizontal="center"/>
    </xf>
    <xf numFmtId="0" fontId="5" fillId="7" borderId="11" xfId="1" applyFont="1" applyFill="1" applyBorder="1" applyAlignment="1" applyProtection="1"/>
    <xf numFmtId="0" fontId="3" fillId="7" borderId="11" xfId="1" applyFont="1" applyFill="1" applyBorder="1" applyAlignment="1" applyProtection="1">
      <alignment horizontal="center"/>
    </xf>
    <xf numFmtId="0" fontId="3" fillId="7" borderId="17" xfId="1" applyFont="1" applyFill="1" applyBorder="1" applyAlignment="1" applyProtection="1"/>
    <xf numFmtId="0" fontId="3" fillId="3" borderId="16" xfId="0" applyFont="1" applyFill="1" applyBorder="1" applyProtection="1"/>
    <xf numFmtId="49" fontId="17" fillId="0" borderId="11" xfId="0" applyNumberFormat="1" applyFont="1" applyFill="1" applyBorder="1" applyAlignment="1" applyProtection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 applyProtection="1">
      <alignment horizontal="centerContinuous" vertical="center"/>
    </xf>
    <xf numFmtId="0" fontId="3" fillId="0" borderId="17" xfId="0" applyFont="1" applyFill="1" applyBorder="1" applyAlignment="1" applyProtection="1">
      <alignment horizontal="centerContinuous" vertical="center"/>
    </xf>
    <xf numFmtId="0" fontId="5" fillId="0" borderId="58" xfId="0" applyFont="1" applyFill="1" applyBorder="1" applyAlignment="1" applyProtection="1">
      <alignment horizontal="left"/>
      <protection locked="0"/>
    </xf>
    <xf numFmtId="49" fontId="5" fillId="5" borderId="60" xfId="0" applyNumberFormat="1" applyFont="1" applyFill="1" applyBorder="1" applyAlignment="1" applyProtection="1">
      <alignment horizontal="left"/>
      <protection locked="0"/>
    </xf>
    <xf numFmtId="49" fontId="5" fillId="5" borderId="62" xfId="0" applyNumberFormat="1" applyFont="1" applyFill="1" applyBorder="1" applyAlignment="1" applyProtection="1">
      <alignment horizontal="center"/>
      <protection locked="0"/>
    </xf>
    <xf numFmtId="49" fontId="5" fillId="5" borderId="63" xfId="0" applyNumberFormat="1" applyFont="1" applyFill="1" applyBorder="1" applyAlignment="1" applyProtection="1">
      <alignment horizontal="center"/>
      <protection locked="0"/>
    </xf>
    <xf numFmtId="49" fontId="5" fillId="5" borderId="23" xfId="0" applyNumberFormat="1" applyFont="1" applyFill="1" applyBorder="1" applyAlignment="1" applyProtection="1">
      <alignment horizontal="center"/>
      <protection locked="0"/>
    </xf>
    <xf numFmtId="0" fontId="5" fillId="5" borderId="20" xfId="0" applyFont="1" applyFill="1" applyBorder="1" applyAlignment="1" applyProtection="1">
      <alignment horizontal="left"/>
      <protection locked="0"/>
    </xf>
    <xf numFmtId="49" fontId="5" fillId="5" borderId="54" xfId="0" applyNumberFormat="1" applyFont="1" applyFill="1" applyBorder="1" applyAlignment="1" applyProtection="1">
      <alignment horizontal="center"/>
      <protection locked="0"/>
    </xf>
    <xf numFmtId="0" fontId="5" fillId="0" borderId="59" xfId="0" applyFont="1" applyFill="1" applyBorder="1" applyAlignment="1" applyProtection="1">
      <alignment horizontal="left"/>
      <protection locked="0"/>
    </xf>
    <xf numFmtId="49" fontId="5" fillId="5" borderId="61" xfId="0" applyNumberFormat="1" applyFont="1" applyFill="1" applyBorder="1" applyAlignment="1" applyProtection="1">
      <alignment horizontal="left"/>
      <protection locked="0"/>
    </xf>
    <xf numFmtId="49" fontId="5" fillId="5" borderId="17" xfId="0" applyNumberFormat="1" applyFont="1" applyFill="1" applyBorder="1" applyAlignment="1" applyProtection="1">
      <alignment horizontal="center"/>
      <protection locked="0"/>
    </xf>
    <xf numFmtId="0" fontId="5" fillId="5" borderId="11" xfId="0" applyFont="1" applyFill="1" applyBorder="1" applyAlignment="1" applyProtection="1">
      <alignment horizontal="left"/>
      <protection locked="0"/>
    </xf>
    <xf numFmtId="49" fontId="5" fillId="0" borderId="12" xfId="0" applyNumberFormat="1" applyFont="1" applyFill="1" applyBorder="1" applyAlignment="1" applyProtection="1">
      <alignment horizontal="center" wrapText="1"/>
    </xf>
    <xf numFmtId="49" fontId="5" fillId="0" borderId="18" xfId="0" applyNumberFormat="1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centerContinuous" wrapText="1"/>
    </xf>
    <xf numFmtId="0" fontId="5" fillId="0" borderId="2" xfId="1" applyFont="1" applyFill="1" applyBorder="1" applyAlignment="1">
      <alignment horizontal="center"/>
    </xf>
    <xf numFmtId="0" fontId="5" fillId="0" borderId="30" xfId="1" applyFont="1" applyFill="1" applyBorder="1" applyAlignment="1">
      <alignment horizontal="center"/>
    </xf>
    <xf numFmtId="2" fontId="5" fillId="0" borderId="3" xfId="1" applyNumberFormat="1" applyFont="1" applyFill="1" applyBorder="1" applyAlignment="1">
      <alignment horizontal="centerContinuous" vertical="center"/>
    </xf>
    <xf numFmtId="0" fontId="3" fillId="0" borderId="28" xfId="1" applyFont="1" applyFill="1" applyBorder="1" applyAlignment="1">
      <alignment horizontal="centerContinuous" vertical="center"/>
    </xf>
    <xf numFmtId="0" fontId="5" fillId="0" borderId="28" xfId="1" applyFont="1" applyFill="1" applyBorder="1" applyAlignment="1">
      <alignment horizontal="centerContinuous" vertical="center"/>
    </xf>
    <xf numFmtId="0" fontId="3" fillId="0" borderId="28" xfId="1" applyFont="1" applyFill="1" applyBorder="1" applyAlignment="1">
      <alignment horizontal="centerContinuous"/>
    </xf>
    <xf numFmtId="0" fontId="5" fillId="0" borderId="50" xfId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28" xfId="0" applyFont="1" applyFill="1" applyBorder="1" applyAlignment="1">
      <alignment horizontal="centerContinuous" vertical="center"/>
    </xf>
    <xf numFmtId="0" fontId="3" fillId="0" borderId="0" xfId="0" applyFont="1" applyFill="1"/>
    <xf numFmtId="0" fontId="3" fillId="0" borderId="24" xfId="0" applyFont="1" applyFill="1" applyBorder="1" applyAlignment="1">
      <alignment horizontal="left"/>
    </xf>
    <xf numFmtId="0" fontId="3" fillId="0" borderId="17" xfId="1" applyFont="1" applyFill="1" applyBorder="1"/>
    <xf numFmtId="2" fontId="5" fillId="0" borderId="2" xfId="1" applyNumberFormat="1" applyFont="1" applyFill="1" applyBorder="1" applyAlignment="1">
      <alignment horizontal="center" vertical="top"/>
    </xf>
    <xf numFmtId="167" fontId="5" fillId="0" borderId="30" xfId="1" applyNumberFormat="1" applyFont="1" applyFill="1" applyBorder="1" applyAlignment="1">
      <alignment horizontal="center" vertical="top"/>
    </xf>
    <xf numFmtId="2" fontId="5" fillId="0" borderId="38" xfId="1" applyNumberFormat="1" applyFont="1" applyFill="1" applyBorder="1" applyAlignment="1">
      <alignment horizontal="center" vertical="center"/>
    </xf>
    <xf numFmtId="2" fontId="5" fillId="0" borderId="5" xfId="1" applyNumberFormat="1" applyFont="1" applyFill="1" applyBorder="1" applyAlignment="1">
      <alignment horizontal="center" vertical="center"/>
    </xf>
    <xf numFmtId="2" fontId="5" fillId="0" borderId="43" xfId="1" applyNumberFormat="1" applyFont="1" applyFill="1" applyBorder="1" applyAlignment="1">
      <alignment horizontal="center" vertical="center"/>
    </xf>
    <xf numFmtId="2" fontId="3" fillId="0" borderId="52" xfId="1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165" fontId="5" fillId="0" borderId="5" xfId="1" applyNumberFormat="1" applyFont="1" applyFill="1" applyBorder="1" applyAlignment="1">
      <alignment horizontal="center" vertical="center" wrapText="1"/>
    </xf>
    <xf numFmtId="165" fontId="5" fillId="0" borderId="30" xfId="1" applyNumberFormat="1" applyFont="1" applyFill="1" applyBorder="1" applyAlignment="1">
      <alignment horizontal="center" vertical="center"/>
    </xf>
    <xf numFmtId="165" fontId="5" fillId="0" borderId="43" xfId="1" applyNumberFormat="1" applyFont="1" applyFill="1" applyBorder="1" applyAlignment="1">
      <alignment horizontal="center" vertical="center" wrapText="1"/>
    </xf>
    <xf numFmtId="2" fontId="5" fillId="0" borderId="38" xfId="0" applyNumberFormat="1" applyFont="1" applyFill="1" applyBorder="1" applyAlignment="1">
      <alignment horizontal="center" vertical="center"/>
    </xf>
    <xf numFmtId="165" fontId="5" fillId="0" borderId="30" xfId="1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 applyProtection="1">
      <alignment horizontal="center"/>
    </xf>
    <xf numFmtId="49" fontId="5" fillId="0" borderId="5" xfId="0" applyNumberFormat="1" applyFont="1" applyFill="1" applyBorder="1" applyAlignment="1" applyProtection="1">
      <alignment horizontal="center"/>
    </xf>
    <xf numFmtId="0" fontId="20" fillId="4" borderId="29" xfId="0" applyFont="1" applyFill="1" applyBorder="1" applyAlignment="1" applyProtection="1">
      <alignment horizontal="center"/>
    </xf>
    <xf numFmtId="4" fontId="20" fillId="0" borderId="3" xfId="0" applyNumberFormat="1" applyFont="1" applyFill="1" applyBorder="1" applyProtection="1"/>
    <xf numFmtId="4" fontId="21" fillId="0" borderId="39" xfId="0" applyNumberFormat="1" applyFont="1" applyFill="1" applyBorder="1" applyAlignment="1" applyProtection="1"/>
    <xf numFmtId="4" fontId="5" fillId="0" borderId="3" xfId="1" applyNumberFormat="1" applyFont="1" applyFill="1" applyBorder="1" applyAlignment="1" applyProtection="1"/>
    <xf numFmtId="4" fontId="5" fillId="0" borderId="28" xfId="1" applyNumberFormat="1" applyFont="1" applyFill="1" applyBorder="1" applyAlignment="1" applyProtection="1"/>
    <xf numFmtId="4" fontId="5" fillId="0" borderId="39" xfId="1" applyNumberFormat="1" applyFont="1" applyFill="1" applyBorder="1" applyAlignment="1" applyProtection="1"/>
    <xf numFmtId="4" fontId="5" fillId="0" borderId="29" xfId="1" applyNumberFormat="1" applyFont="1" applyFill="1" applyBorder="1" applyAlignment="1" applyProtection="1"/>
    <xf numFmtId="0" fontId="5" fillId="0" borderId="0" xfId="0" applyFont="1" applyFill="1" applyAlignment="1" applyProtection="1">
      <alignment horizontal="center"/>
    </xf>
    <xf numFmtId="0" fontId="3" fillId="0" borderId="37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2" fontId="3" fillId="0" borderId="47" xfId="1" applyNumberFormat="1" applyFont="1" applyFill="1" applyBorder="1" applyAlignment="1">
      <alignment horizontal="center"/>
    </xf>
    <xf numFmtId="167" fontId="3" fillId="0" borderId="48" xfId="1" applyNumberFormat="1" applyFont="1" applyFill="1" applyBorder="1" applyAlignment="1">
      <alignment horizontal="center"/>
    </xf>
    <xf numFmtId="2" fontId="3" fillId="0" borderId="31" xfId="1" applyNumberFormat="1" applyFont="1" applyFill="1" applyBorder="1" applyAlignment="1">
      <alignment horizontal="center"/>
    </xf>
    <xf numFmtId="2" fontId="5" fillId="0" borderId="31" xfId="1" applyNumberFormat="1" applyFont="1" applyFill="1" applyBorder="1" applyAlignment="1">
      <alignment horizontal="center"/>
    </xf>
    <xf numFmtId="2" fontId="3" fillId="0" borderId="48" xfId="1" applyNumberFormat="1" applyFont="1" applyFill="1" applyBorder="1" applyAlignment="1">
      <alignment horizontal="center"/>
    </xf>
    <xf numFmtId="4" fontId="3" fillId="5" borderId="31" xfId="0" applyNumberFormat="1" applyFont="1" applyFill="1" applyBorder="1" applyAlignment="1" applyProtection="1">
      <protection locked="0"/>
    </xf>
    <xf numFmtId="4" fontId="3" fillId="0" borderId="31" xfId="1" applyNumberFormat="1" applyFont="1" applyFill="1" applyBorder="1"/>
    <xf numFmtId="4" fontId="3" fillId="0" borderId="21" xfId="1" applyNumberFormat="1" applyFont="1" applyFill="1" applyBorder="1"/>
    <xf numFmtId="0" fontId="3" fillId="0" borderId="3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4" borderId="46" xfId="1" applyFont="1" applyFill="1" applyBorder="1"/>
    <xf numFmtId="2" fontId="3" fillId="0" borderId="32" xfId="1" applyNumberFormat="1" applyFont="1" applyFill="1" applyBorder="1" applyAlignment="1">
      <alignment horizontal="center"/>
    </xf>
    <xf numFmtId="4" fontId="5" fillId="3" borderId="0" xfId="0" applyNumberFormat="1" applyFont="1" applyFill="1" applyBorder="1" applyAlignment="1" applyProtection="1">
      <alignment horizontal="right"/>
    </xf>
    <xf numFmtId="0" fontId="5" fillId="0" borderId="0" xfId="0" applyFont="1" applyFill="1"/>
    <xf numFmtId="167" fontId="3" fillId="0" borderId="34" xfId="1" quotePrefix="1" applyNumberFormat="1" applyFont="1" applyFill="1" applyBorder="1" applyAlignment="1">
      <alignment horizontal="center"/>
    </xf>
    <xf numFmtId="2" fontId="3" fillId="0" borderId="32" xfId="1" quotePrefix="1" applyNumberFormat="1" applyFont="1" applyFill="1" applyBorder="1" applyAlignment="1">
      <alignment horizontal="center"/>
    </xf>
    <xf numFmtId="4" fontId="3" fillId="0" borderId="41" xfId="1" applyNumberFormat="1" applyFont="1" applyFill="1" applyBorder="1"/>
    <xf numFmtId="4" fontId="3" fillId="0" borderId="48" xfId="1" applyNumberFormat="1" applyFont="1" applyFill="1" applyBorder="1"/>
    <xf numFmtId="49" fontId="22" fillId="7" borderId="6" xfId="0" quotePrefix="1" applyNumberFormat="1" applyFont="1" applyFill="1" applyBorder="1" applyAlignment="1" applyProtection="1">
      <alignment horizontal="left"/>
      <protection locked="0"/>
    </xf>
    <xf numFmtId="0" fontId="3" fillId="7" borderId="48" xfId="0" applyFont="1" applyFill="1" applyBorder="1" applyAlignment="1" applyProtection="1">
      <alignment horizontal="left" wrapText="1"/>
      <protection locked="0"/>
    </xf>
    <xf numFmtId="0" fontId="5" fillId="7" borderId="55" xfId="1" applyFont="1" applyFill="1" applyBorder="1"/>
    <xf numFmtId="2" fontId="3" fillId="0" borderId="45" xfId="1" applyNumberFormat="1" applyFont="1" applyFill="1" applyBorder="1" applyAlignment="1">
      <alignment horizontal="left"/>
    </xf>
    <xf numFmtId="167" fontId="3" fillId="0" borderId="34" xfId="1" applyNumberFormat="1" applyFont="1" applyFill="1" applyBorder="1" applyAlignment="1">
      <alignment horizontal="left"/>
    </xf>
    <xf numFmtId="2" fontId="3" fillId="0" borderId="32" xfId="1" applyNumberFormat="1" applyFont="1" applyFill="1" applyBorder="1" applyAlignment="1">
      <alignment horizontal="left"/>
    </xf>
    <xf numFmtId="2" fontId="3" fillId="0" borderId="6" xfId="1" applyNumberFormat="1" applyFont="1" applyFill="1" applyBorder="1" applyAlignment="1">
      <alignment horizontal="left"/>
    </xf>
    <xf numFmtId="49" fontId="22" fillId="7" borderId="25" xfId="0" quotePrefix="1" applyNumberFormat="1" applyFont="1" applyFill="1" applyBorder="1" applyAlignment="1" applyProtection="1">
      <alignment horizontal="left"/>
      <protection locked="0"/>
    </xf>
    <xf numFmtId="0" fontId="3" fillId="7" borderId="52" xfId="0" applyFont="1" applyFill="1" applyBorder="1" applyAlignment="1" applyProtection="1">
      <alignment horizontal="left" wrapText="1"/>
      <protection locked="0"/>
    </xf>
    <xf numFmtId="0" fontId="5" fillId="7" borderId="56" xfId="1" applyFont="1" applyFill="1" applyBorder="1"/>
    <xf numFmtId="2" fontId="3" fillId="0" borderId="44" xfId="1" applyNumberFormat="1" applyFont="1" applyFill="1" applyBorder="1" applyAlignment="1">
      <alignment horizontal="left"/>
    </xf>
    <xf numFmtId="167" fontId="3" fillId="0" borderId="42" xfId="1" applyNumberFormat="1" applyFont="1" applyFill="1" applyBorder="1" applyAlignment="1">
      <alignment horizontal="left"/>
    </xf>
    <xf numFmtId="2" fontId="3" fillId="0" borderId="40" xfId="1" applyNumberFormat="1" applyFont="1" applyFill="1" applyBorder="1" applyAlignment="1">
      <alignment horizontal="left"/>
    </xf>
    <xf numFmtId="2" fontId="3" fillId="0" borderId="41" xfId="1" applyNumberFormat="1" applyFont="1" applyFill="1" applyBorder="1" applyAlignment="1">
      <alignment horizontal="left"/>
    </xf>
    <xf numFmtId="4" fontId="3" fillId="0" borderId="42" xfId="1" applyNumberFormat="1" applyFont="1" applyFill="1" applyBorder="1"/>
    <xf numFmtId="49" fontId="5" fillId="0" borderId="2" xfId="0" applyNumberFormat="1" applyFont="1" applyFill="1" applyBorder="1" applyAlignment="1" applyProtection="1">
      <alignment horizontal="center"/>
    </xf>
    <xf numFmtId="49" fontId="5" fillId="0" borderId="38" xfId="0" applyNumberFormat="1" applyFont="1" applyFill="1" applyBorder="1" applyAlignment="1" applyProtection="1">
      <alignment horizontal="center"/>
    </xf>
    <xf numFmtId="2" fontId="3" fillId="0" borderId="45" xfId="1" quotePrefix="1" applyNumberFormat="1" applyFont="1" applyFill="1" applyBorder="1" applyAlignment="1">
      <alignment horizontal="center"/>
    </xf>
    <xf numFmtId="0" fontId="3" fillId="0" borderId="6" xfId="2" applyFont="1" applyFill="1" applyBorder="1" applyAlignment="1">
      <alignment horizontal="left"/>
    </xf>
    <xf numFmtId="0" fontId="3" fillId="7" borderId="31" xfId="0" applyFont="1" applyFill="1" applyBorder="1" applyAlignment="1" applyProtection="1">
      <alignment horizontal="left" wrapText="1"/>
      <protection locked="0"/>
    </xf>
    <xf numFmtId="0" fontId="5" fillId="4" borderId="46" xfId="1" applyFont="1" applyFill="1" applyBorder="1"/>
    <xf numFmtId="0" fontId="23" fillId="6" borderId="0" xfId="0" applyFont="1" applyFill="1"/>
    <xf numFmtId="0" fontId="23" fillId="0" borderId="0" xfId="0" applyFont="1" applyFill="1" applyBorder="1" applyAlignment="1" applyProtection="1">
      <alignment horizontal="center"/>
    </xf>
    <xf numFmtId="0" fontId="16" fillId="0" borderId="0" xfId="0" applyFont="1" applyFill="1" applyAlignment="1">
      <alignment horizontal="left" vertical="center"/>
    </xf>
    <xf numFmtId="4" fontId="5" fillId="0" borderId="29" xfId="1" applyNumberFormat="1" applyFont="1" applyFill="1" applyBorder="1" applyAlignment="1">
      <alignment vertical="center"/>
    </xf>
    <xf numFmtId="2" fontId="3" fillId="0" borderId="28" xfId="1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1" applyFont="1" applyFill="1" applyBorder="1"/>
    <xf numFmtId="2" fontId="3" fillId="0" borderId="0" xfId="1" applyNumberFormat="1" applyFont="1" applyFill="1" applyBorder="1" applyAlignment="1">
      <alignment horizontal="center"/>
    </xf>
    <xf numFmtId="2" fontId="3" fillId="0" borderId="0" xfId="0" applyNumberFormat="1" applyFont="1" applyFill="1"/>
    <xf numFmtId="4" fontId="5" fillId="5" borderId="65" xfId="0" applyNumberFormat="1" applyFont="1" applyFill="1" applyBorder="1" applyAlignment="1" applyProtection="1">
      <protection locked="0"/>
    </xf>
    <xf numFmtId="0" fontId="5" fillId="0" borderId="36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164" fontId="3" fillId="0" borderId="0" xfId="3" applyFont="1" applyFill="1"/>
    <xf numFmtId="164" fontId="23" fillId="6" borderId="0" xfId="3" applyFont="1" applyFill="1"/>
    <xf numFmtId="168" fontId="5" fillId="0" borderId="30" xfId="0" applyNumberFormat="1" applyFont="1" applyFill="1" applyBorder="1" applyAlignment="1" applyProtection="1">
      <alignment horizontal="right" vertical="center"/>
    </xf>
    <xf numFmtId="168" fontId="5" fillId="0" borderId="43" xfId="0" applyNumberFormat="1" applyFont="1" applyFill="1" applyBorder="1" applyAlignment="1" applyProtection="1">
      <alignment horizontal="right" vertical="center"/>
    </xf>
    <xf numFmtId="0" fontId="3" fillId="7" borderId="34" xfId="0" applyFont="1" applyFill="1" applyBorder="1" applyAlignment="1" applyProtection="1">
      <alignment horizontal="left" wrapText="1"/>
      <protection locked="0"/>
    </xf>
    <xf numFmtId="4" fontId="3" fillId="5" borderId="6" xfId="0" applyNumberFormat="1" applyFont="1" applyFill="1" applyBorder="1" applyAlignment="1" applyProtection="1">
      <protection locked="0"/>
    </xf>
    <xf numFmtId="4" fontId="3" fillId="5" borderId="32" xfId="0" applyNumberFormat="1" applyFont="1" applyFill="1" applyBorder="1" applyAlignment="1" applyProtection="1">
      <protection locked="0"/>
    </xf>
    <xf numFmtId="0" fontId="5" fillId="0" borderId="6" xfId="0" applyFont="1" applyFill="1" applyBorder="1" applyAlignment="1">
      <alignment horizontal="left"/>
    </xf>
    <xf numFmtId="4" fontId="20" fillId="0" borderId="68" xfId="0" applyNumberFormat="1" applyFont="1" applyFill="1" applyBorder="1" applyProtection="1"/>
    <xf numFmtId="4" fontId="21" fillId="0" borderId="55" xfId="0" applyNumberFormat="1" applyFont="1" applyFill="1" applyBorder="1" applyAlignment="1" applyProtection="1"/>
    <xf numFmtId="4" fontId="5" fillId="0" borderId="68" xfId="1" applyNumberFormat="1" applyFont="1" applyFill="1" applyBorder="1" applyAlignment="1" applyProtection="1"/>
    <xf numFmtId="4" fontId="5" fillId="0" borderId="64" xfId="1" applyNumberFormat="1" applyFont="1" applyFill="1" applyBorder="1" applyAlignment="1" applyProtection="1"/>
    <xf numFmtId="4" fontId="5" fillId="0" borderId="55" xfId="1" applyNumberFormat="1" applyFont="1" applyFill="1" applyBorder="1" applyAlignment="1" applyProtection="1"/>
    <xf numFmtId="4" fontId="3" fillId="0" borderId="45" xfId="0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center"/>
    </xf>
    <xf numFmtId="0" fontId="3" fillId="0" borderId="34" xfId="1" applyFont="1" applyFill="1" applyBorder="1" applyAlignment="1">
      <alignment horizontal="center"/>
    </xf>
    <xf numFmtId="49" fontId="24" fillId="0" borderId="16" xfId="0" applyNumberFormat="1" applyFont="1" applyFill="1" applyBorder="1" applyAlignment="1" applyProtection="1">
      <alignment horizontal="centerContinuous" vertical="center"/>
    </xf>
    <xf numFmtId="169" fontId="5" fillId="8" borderId="29" xfId="1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Border="1" applyAlignment="1" applyProtection="1">
      <alignment horizontal="center"/>
    </xf>
    <xf numFmtId="49" fontId="5" fillId="0" borderId="0" xfId="1" applyNumberFormat="1" applyFont="1" applyFill="1" applyBorder="1" applyAlignment="1" applyProtection="1"/>
    <xf numFmtId="0" fontId="3" fillId="0" borderId="67" xfId="0" applyFont="1" applyFill="1" applyBorder="1" applyProtection="1"/>
    <xf numFmtId="49" fontId="17" fillId="0" borderId="14" xfId="0" applyNumberFormat="1" applyFont="1" applyFill="1" applyBorder="1" applyAlignment="1" applyProtection="1"/>
    <xf numFmtId="49" fontId="17" fillId="0" borderId="0" xfId="0" applyNumberFormat="1" applyFont="1" applyFill="1" applyBorder="1" applyAlignment="1" applyProtection="1"/>
    <xf numFmtId="0" fontId="5" fillId="0" borderId="67" xfId="1" applyFont="1" applyFill="1" applyBorder="1" applyAlignment="1" applyProtection="1">
      <alignment horizontal="right" indent="1"/>
    </xf>
    <xf numFmtId="49" fontId="3" fillId="0" borderId="14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</xf>
    <xf numFmtId="49" fontId="17" fillId="0" borderId="16" xfId="0" applyNumberFormat="1" applyFont="1" applyFill="1" applyBorder="1" applyAlignment="1" applyProtection="1"/>
    <xf numFmtId="49" fontId="17" fillId="0" borderId="11" xfId="0" applyNumberFormat="1" applyFont="1" applyFill="1" applyBorder="1" applyAlignment="1" applyProtection="1"/>
    <xf numFmtId="0" fontId="5" fillId="0" borderId="59" xfId="1" applyFont="1" applyFill="1" applyBorder="1" applyAlignment="1" applyProtection="1">
      <alignment horizontal="right" indent="1"/>
    </xf>
    <xf numFmtId="0" fontId="3" fillId="3" borderId="11" xfId="0" applyFont="1" applyFill="1" applyBorder="1" applyProtection="1"/>
    <xf numFmtId="0" fontId="3" fillId="7" borderId="11" xfId="0" applyFont="1" applyFill="1" applyBorder="1" applyProtection="1"/>
    <xf numFmtId="0" fontId="3" fillId="0" borderId="11" xfId="0" applyFont="1" applyBorder="1"/>
    <xf numFmtId="0" fontId="3" fillId="0" borderId="17" xfId="0" applyFont="1" applyBorder="1"/>
    <xf numFmtId="0" fontId="3" fillId="0" borderId="17" xfId="0" applyFont="1" applyFill="1" applyBorder="1" applyAlignment="1">
      <alignment horizontal="centerContinuous" vertical="center"/>
    </xf>
    <xf numFmtId="0" fontId="3" fillId="10" borderId="12" xfId="0" applyFont="1" applyFill="1" applyBorder="1" applyAlignment="1" applyProtection="1">
      <alignment horizontal="centerContinuous"/>
    </xf>
    <xf numFmtId="39" fontId="17" fillId="10" borderId="10" xfId="3" applyNumberFormat="1" applyFont="1" applyFill="1" applyBorder="1" applyAlignment="1" applyProtection="1">
      <alignment horizontal="centerContinuous"/>
    </xf>
    <xf numFmtId="0" fontId="3" fillId="10" borderId="10" xfId="0" applyFont="1" applyFill="1" applyBorder="1" applyAlignment="1">
      <alignment horizontal="centerContinuous"/>
    </xf>
    <xf numFmtId="39" fontId="17" fillId="10" borderId="13" xfId="3" applyNumberFormat="1" applyFont="1" applyFill="1" applyBorder="1" applyAlignment="1" applyProtection="1">
      <alignment horizontal="centerContinuous"/>
    </xf>
    <xf numFmtId="0" fontId="22" fillId="9" borderId="0" xfId="1" applyFont="1" applyFill="1" applyBorder="1" applyAlignment="1" applyProtection="1">
      <alignment horizontal="center"/>
    </xf>
    <xf numFmtId="39" fontId="17" fillId="10" borderId="66" xfId="3" applyNumberFormat="1" applyFont="1" applyFill="1" applyBorder="1" applyAlignment="1" applyProtection="1">
      <alignment horizontal="centerContinuous"/>
    </xf>
    <xf numFmtId="49" fontId="22" fillId="9" borderId="0" xfId="0" applyNumberFormat="1" applyFont="1" applyFill="1" applyBorder="1" applyAlignment="1" applyProtection="1">
      <alignment horizontal="center"/>
    </xf>
    <xf numFmtId="4" fontId="22" fillId="9" borderId="67" xfId="1" applyNumberFormat="1" applyFont="1" applyFill="1" applyBorder="1" applyAlignment="1" applyProtection="1">
      <alignment horizontal="center"/>
    </xf>
    <xf numFmtId="0" fontId="22" fillId="9" borderId="0" xfId="1" applyFont="1" applyFill="1" applyBorder="1" applyAlignment="1" applyProtection="1">
      <alignment horizontal="centerContinuous"/>
      <protection locked="0"/>
    </xf>
    <xf numFmtId="0" fontId="22" fillId="9" borderId="15" xfId="1" applyFont="1" applyFill="1" applyBorder="1" applyAlignment="1" applyProtection="1">
      <alignment horizontal="centerContinuous"/>
      <protection locked="0"/>
    </xf>
    <xf numFmtId="4" fontId="5" fillId="0" borderId="39" xfId="1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  <xf numFmtId="0" fontId="3" fillId="0" borderId="13" xfId="1" applyFont="1" applyFill="1" applyBorder="1"/>
    <xf numFmtId="0" fontId="3" fillId="4" borderId="21" xfId="1" applyFont="1" applyFill="1" applyBorder="1"/>
    <xf numFmtId="2" fontId="3" fillId="0" borderId="19" xfId="1" applyNumberFormat="1" applyFont="1" applyFill="1" applyBorder="1" applyAlignment="1">
      <alignment horizontal="center"/>
    </xf>
    <xf numFmtId="167" fontId="3" fillId="0" borderId="50" xfId="1" applyNumberFormat="1" applyFont="1" applyFill="1" applyBorder="1" applyAlignment="1">
      <alignment horizontal="center"/>
    </xf>
    <xf numFmtId="2" fontId="3" fillId="0" borderId="49" xfId="1" applyNumberFormat="1" applyFont="1" applyFill="1" applyBorder="1" applyAlignment="1">
      <alignment horizontal="center"/>
    </xf>
    <xf numFmtId="2" fontId="3" fillId="0" borderId="18" xfId="1" applyNumberFormat="1" applyFont="1" applyFill="1" applyBorder="1" applyAlignment="1">
      <alignment horizontal="center"/>
    </xf>
    <xf numFmtId="2" fontId="5" fillId="0" borderId="18" xfId="1" applyNumberFormat="1" applyFont="1" applyFill="1" applyBorder="1" applyAlignment="1">
      <alignment horizontal="center"/>
    </xf>
    <xf numFmtId="2" fontId="3" fillId="0" borderId="50" xfId="1" applyNumberFormat="1" applyFont="1" applyFill="1" applyBorder="1" applyAlignment="1">
      <alignment horizontal="center"/>
    </xf>
    <xf numFmtId="0" fontId="5" fillId="0" borderId="3" xfId="1" applyFont="1" applyFill="1" applyBorder="1" applyAlignment="1">
      <alignment horizontal="left" vertical="center"/>
    </xf>
    <xf numFmtId="167" fontId="3" fillId="0" borderId="28" xfId="1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4" fontId="3" fillId="0" borderId="39" xfId="1" applyNumberFormat="1" applyFont="1" applyFill="1" applyBorder="1"/>
    <xf numFmtId="2" fontId="3" fillId="0" borderId="28" xfId="1" applyNumberFormat="1" applyFont="1" applyFill="1" applyBorder="1" applyAlignment="1">
      <alignment horizontal="center"/>
    </xf>
    <xf numFmtId="167" fontId="3" fillId="0" borderId="28" xfId="1" applyNumberFormat="1" applyFont="1" applyFill="1" applyBorder="1" applyAlignment="1">
      <alignment horizontal="center"/>
    </xf>
    <xf numFmtId="2" fontId="5" fillId="0" borderId="28" xfId="1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center"/>
    </xf>
    <xf numFmtId="4" fontId="3" fillId="0" borderId="28" xfId="1" applyNumberFormat="1" applyFont="1" applyFill="1" applyBorder="1"/>
    <xf numFmtId="0" fontId="16" fillId="0" borderId="49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4" fontId="3" fillId="0" borderId="18" xfId="1" applyNumberFormat="1" applyFont="1" applyFill="1" applyBorder="1"/>
    <xf numFmtId="4" fontId="3" fillId="0" borderId="50" xfId="1" applyNumberFormat="1" applyFont="1" applyFill="1" applyBorder="1"/>
    <xf numFmtId="0" fontId="3" fillId="4" borderId="28" xfId="1" applyFont="1" applyFill="1" applyBorder="1"/>
    <xf numFmtId="4" fontId="5" fillId="0" borderId="17" xfId="1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1" applyFont="1" applyFill="1" applyBorder="1"/>
    <xf numFmtId="0" fontId="16" fillId="0" borderId="3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5" fillId="0" borderId="28" xfId="1" applyFont="1" applyFill="1" applyBorder="1" applyAlignment="1">
      <alignment horizontal="left" vertical="center"/>
    </xf>
    <xf numFmtId="4" fontId="5" fillId="0" borderId="3" xfId="1" applyNumberFormat="1" applyFont="1" applyFill="1" applyBorder="1" applyAlignment="1">
      <alignment vertical="center"/>
    </xf>
    <xf numFmtId="4" fontId="5" fillId="0" borderId="39" xfId="0" applyNumberFormat="1" applyFont="1" applyFill="1" applyBorder="1" applyAlignment="1">
      <alignment vertical="center"/>
    </xf>
    <xf numFmtId="49" fontId="19" fillId="0" borderId="3" xfId="5" applyNumberFormat="1" applyFont="1" applyFill="1" applyBorder="1" applyAlignment="1" applyProtection="1">
      <alignment horizontal="centerContinuous" vertical="center"/>
    </xf>
    <xf numFmtId="49" fontId="19" fillId="0" borderId="28" xfId="5" applyNumberFormat="1" applyFont="1" applyFill="1" applyBorder="1" applyAlignment="1" applyProtection="1">
      <alignment horizontal="centerContinuous" vertical="center"/>
    </xf>
    <xf numFmtId="0" fontId="3" fillId="0" borderId="28" xfId="5" applyFont="1" applyFill="1" applyBorder="1" applyAlignment="1">
      <alignment horizontal="centerContinuous" vertical="center"/>
    </xf>
    <xf numFmtId="0" fontId="3" fillId="0" borderId="39" xfId="5" applyFont="1" applyFill="1" applyBorder="1" applyAlignment="1">
      <alignment horizontal="centerContinuous" vertical="center"/>
    </xf>
    <xf numFmtId="0" fontId="3" fillId="0" borderId="0" xfId="5" applyFont="1"/>
    <xf numFmtId="49" fontId="5" fillId="3" borderId="51" xfId="5" applyNumberFormat="1" applyFont="1" applyFill="1" applyBorder="1" applyAlignment="1" applyProtection="1">
      <alignment horizontal="left"/>
    </xf>
    <xf numFmtId="49" fontId="5" fillId="5" borderId="60" xfId="5" applyNumberFormat="1" applyFont="1" applyFill="1" applyBorder="1" applyAlignment="1" applyProtection="1">
      <alignment horizontal="left"/>
      <protection locked="0"/>
    </xf>
    <xf numFmtId="49" fontId="5" fillId="5" borderId="70" xfId="5" applyNumberFormat="1" applyFont="1" applyFill="1" applyBorder="1" applyAlignment="1" applyProtection="1">
      <alignment horizontal="left"/>
      <protection locked="0"/>
    </xf>
    <xf numFmtId="0" fontId="5" fillId="0" borderId="33" xfId="5" applyFont="1" applyFill="1" applyBorder="1" applyAlignment="1" applyProtection="1">
      <alignment horizontal="left"/>
    </xf>
    <xf numFmtId="49" fontId="5" fillId="5" borderId="54" xfId="5" applyNumberFormat="1" applyFont="1" applyFill="1" applyBorder="1" applyAlignment="1" applyProtection="1">
      <alignment horizontal="center"/>
      <protection locked="0"/>
    </xf>
    <xf numFmtId="49" fontId="5" fillId="3" borderId="57" xfId="5" applyNumberFormat="1" applyFont="1" applyFill="1" applyBorder="1" applyAlignment="1" applyProtection="1">
      <alignment horizontal="left"/>
    </xf>
    <xf numFmtId="49" fontId="5" fillId="5" borderId="61" xfId="5" applyNumberFormat="1" applyFont="1" applyFill="1" applyBorder="1" applyAlignment="1" applyProtection="1">
      <alignment horizontal="left"/>
      <protection locked="0"/>
    </xf>
    <xf numFmtId="49" fontId="5" fillId="5" borderId="11" xfId="5" applyNumberFormat="1" applyFont="1" applyFill="1" applyBorder="1" applyAlignment="1" applyProtection="1">
      <alignment horizontal="left"/>
      <protection locked="0"/>
    </xf>
    <xf numFmtId="0" fontId="5" fillId="0" borderId="26" xfId="5" applyFont="1" applyFill="1" applyBorder="1" applyAlignment="1" applyProtection="1">
      <alignment horizontal="left"/>
    </xf>
    <xf numFmtId="49" fontId="5" fillId="5" borderId="26" xfId="5" applyNumberFormat="1" applyFont="1" applyFill="1" applyBorder="1" applyAlignment="1" applyProtection="1">
      <alignment horizontal="center"/>
      <protection locked="0"/>
    </xf>
    <xf numFmtId="0" fontId="3" fillId="0" borderId="3" xfId="5" applyFont="1" applyFill="1" applyBorder="1" applyAlignment="1">
      <alignment horizontal="left"/>
    </xf>
    <xf numFmtId="0" fontId="3" fillId="0" borderId="28" xfId="5" applyFont="1" applyFill="1" applyBorder="1" applyAlignment="1">
      <alignment horizontal="left"/>
    </xf>
    <xf numFmtId="0" fontId="3" fillId="0" borderId="28" xfId="1" applyFont="1" applyFill="1" applyBorder="1"/>
    <xf numFmtId="165" fontId="5" fillId="0" borderId="39" xfId="1" applyNumberFormat="1" applyFont="1" applyFill="1" applyBorder="1" applyAlignment="1">
      <alignment horizontal="center" vertical="center"/>
    </xf>
    <xf numFmtId="0" fontId="5" fillId="0" borderId="29" xfId="5" applyFont="1" applyFill="1" applyBorder="1" applyAlignment="1">
      <alignment horizontal="center" wrapText="1"/>
    </xf>
    <xf numFmtId="0" fontId="3" fillId="0" borderId="0" xfId="5" applyFont="1" applyFill="1"/>
    <xf numFmtId="10" fontId="3" fillId="0" borderId="29" xfId="6" applyNumberFormat="1" applyFont="1" applyFill="1" applyBorder="1"/>
    <xf numFmtId="49" fontId="5" fillId="0" borderId="2" xfId="5" applyNumberFormat="1" applyFont="1" applyFill="1" applyBorder="1" applyAlignment="1" applyProtection="1">
      <alignment horizontal="center"/>
    </xf>
    <xf numFmtId="0" fontId="15" fillId="0" borderId="28" xfId="5" applyFont="1" applyFill="1" applyBorder="1" applyAlignment="1" applyProtection="1"/>
    <xf numFmtId="0" fontId="3" fillId="0" borderId="28" xfId="5" applyFont="1" applyFill="1" applyBorder="1"/>
    <xf numFmtId="0" fontId="15" fillId="0" borderId="0" xfId="5" applyFont="1" applyFill="1" applyBorder="1" applyAlignment="1" applyProtection="1"/>
    <xf numFmtId="0" fontId="3" fillId="0" borderId="0" xfId="5" applyFont="1" applyFill="1" applyBorder="1"/>
    <xf numFmtId="0" fontId="15" fillId="0" borderId="11" xfId="5" applyFont="1" applyFill="1" applyBorder="1" applyAlignment="1" applyProtection="1"/>
    <xf numFmtId="0" fontId="3" fillId="0" borderId="11" xfId="5" applyFont="1" applyFill="1" applyBorder="1"/>
    <xf numFmtId="0" fontId="16" fillId="0" borderId="3" xfId="5" applyFont="1" applyFill="1" applyBorder="1" applyAlignment="1">
      <alignment horizontal="left" vertical="center"/>
    </xf>
    <xf numFmtId="0" fontId="16" fillId="0" borderId="28" xfId="5" applyFont="1" applyFill="1" applyBorder="1" applyAlignment="1">
      <alignment horizontal="left" vertical="center"/>
    </xf>
    <xf numFmtId="0" fontId="5" fillId="0" borderId="28" xfId="1" applyFont="1" applyFill="1" applyBorder="1" applyAlignment="1">
      <alignment horizontal="left" vertical="center" indent="25"/>
    </xf>
    <xf numFmtId="10" fontId="5" fillId="0" borderId="39" xfId="6" applyNumberFormat="1" applyFont="1" applyFill="1" applyBorder="1" applyAlignment="1">
      <alignment vertical="center"/>
    </xf>
    <xf numFmtId="0" fontId="5" fillId="0" borderId="71" xfId="5" applyFont="1" applyFill="1" applyBorder="1" applyAlignment="1">
      <alignment horizontal="left" vertical="center"/>
    </xf>
    <xf numFmtId="0" fontId="3" fillId="0" borderId="72" xfId="5" applyFont="1" applyFill="1" applyBorder="1" applyAlignment="1">
      <alignment horizontal="left" vertical="center"/>
    </xf>
    <xf numFmtId="0" fontId="5" fillId="0" borderId="73" xfId="1" applyFont="1" applyFill="1" applyBorder="1" applyAlignment="1">
      <alignment horizontal="center" vertical="center" wrapText="1"/>
    </xf>
    <xf numFmtId="4" fontId="5" fillId="0" borderId="73" xfId="1" applyNumberFormat="1" applyFont="1" applyFill="1" applyBorder="1" applyAlignment="1">
      <alignment vertical="center" wrapText="1"/>
    </xf>
    <xf numFmtId="0" fontId="5" fillId="4" borderId="74" xfId="1" applyFont="1" applyFill="1" applyBorder="1" applyAlignment="1">
      <alignment horizontal="left" vertical="center" indent="25"/>
    </xf>
    <xf numFmtId="164" fontId="5" fillId="2" borderId="75" xfId="3" applyFont="1" applyFill="1" applyBorder="1" applyAlignment="1">
      <alignment horizontal="center" vertical="top"/>
    </xf>
    <xf numFmtId="0" fontId="3" fillId="0" borderId="16" xfId="5" applyFont="1" applyFill="1" applyBorder="1" applyAlignment="1">
      <alignment horizontal="left" vertical="center"/>
    </xf>
    <xf numFmtId="0" fontId="3" fillId="0" borderId="11" xfId="5" applyFont="1" applyFill="1" applyBorder="1" applyAlignment="1">
      <alignment horizontal="left" vertical="center"/>
    </xf>
    <xf numFmtId="0" fontId="3" fillId="0" borderId="11" xfId="5" applyFont="1" applyFill="1" applyBorder="1" applyAlignment="1"/>
    <xf numFmtId="0" fontId="3" fillId="0" borderId="0" xfId="5" applyFont="1" applyFill="1" applyAlignment="1">
      <alignment horizontal="left"/>
    </xf>
    <xf numFmtId="4" fontId="5" fillId="4" borderId="39" xfId="1" applyNumberFormat="1" applyFont="1" applyFill="1" applyBorder="1" applyAlignment="1" applyProtection="1"/>
    <xf numFmtId="4" fontId="5" fillId="4" borderId="39" xfId="1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horizontal="left"/>
    </xf>
    <xf numFmtId="1" fontId="8" fillId="2" borderId="6" xfId="1" applyNumberFormat="1" applyFont="1" applyFill="1" applyBorder="1" applyAlignment="1">
      <alignment horizontal="center"/>
    </xf>
    <xf numFmtId="2" fontId="6" fillId="2" borderId="0" xfId="0" applyNumberFormat="1" applyFont="1" applyFill="1" applyAlignment="1">
      <alignment horizontal="center"/>
    </xf>
    <xf numFmtId="166" fontId="6" fillId="2" borderId="0" xfId="0" applyNumberFormat="1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39" fontId="22" fillId="10" borderId="66" xfId="3" applyNumberFormat="1" applyFont="1" applyFill="1" applyBorder="1" applyAlignment="1" applyProtection="1">
      <alignment horizontal="centerContinuous"/>
    </xf>
    <xf numFmtId="49" fontId="5" fillId="0" borderId="49" xfId="5" applyNumberFormat="1" applyFont="1" applyFill="1" applyBorder="1" applyAlignment="1" applyProtection="1">
      <alignment horizontal="center"/>
    </xf>
    <xf numFmtId="2" fontId="3" fillId="0" borderId="47" xfId="1" quotePrefix="1" applyNumberFormat="1" applyFont="1" applyFill="1" applyBorder="1" applyAlignment="1">
      <alignment horizontal="center"/>
    </xf>
    <xf numFmtId="167" fontId="3" fillId="0" borderId="48" xfId="1" quotePrefix="1" applyNumberFormat="1" applyFont="1" applyFill="1" applyBorder="1" applyAlignment="1">
      <alignment horizontal="center"/>
    </xf>
    <xf numFmtId="2" fontId="3" fillId="0" borderId="37" xfId="1" quotePrefix="1" applyNumberFormat="1" applyFont="1" applyFill="1" applyBorder="1" applyAlignment="1">
      <alignment horizontal="center"/>
    </xf>
    <xf numFmtId="0" fontId="27" fillId="0" borderId="0" xfId="7"/>
    <xf numFmtId="2" fontId="27" fillId="0" borderId="0" xfId="7" applyNumberFormat="1"/>
    <xf numFmtId="0" fontId="28" fillId="0" borderId="0" xfId="7" applyFont="1"/>
    <xf numFmtId="49" fontId="5" fillId="5" borderId="20" xfId="5" applyNumberFormat="1" applyFont="1" applyFill="1" applyBorder="1" applyAlignment="1" applyProtection="1">
      <alignment horizontal="left"/>
      <protection locked="0"/>
    </xf>
    <xf numFmtId="0" fontId="5" fillId="4" borderId="74" xfId="1" applyFont="1" applyFill="1" applyBorder="1" applyAlignment="1">
      <alignment vertical="center"/>
    </xf>
    <xf numFmtId="0" fontId="5" fillId="4" borderId="75" xfId="1" applyFont="1" applyFill="1" applyBorder="1" applyAlignment="1">
      <alignment horizontal="left" vertical="center"/>
    </xf>
    <xf numFmtId="4" fontId="5" fillId="7" borderId="75" xfId="3" applyNumberFormat="1" applyFont="1" applyFill="1" applyBorder="1" applyAlignment="1">
      <alignment horizontal="left" vertical="center" indent="2"/>
    </xf>
    <xf numFmtId="0" fontId="15" fillId="0" borderId="17" xfId="0" applyFont="1" applyFill="1" applyBorder="1" applyAlignment="1" applyProtection="1">
      <alignment wrapText="1"/>
    </xf>
    <xf numFmtId="0" fontId="3" fillId="0" borderId="53" xfId="1" quotePrefix="1" applyFont="1" applyFill="1" applyBorder="1" applyAlignment="1">
      <alignment horizontal="left" wrapText="1"/>
    </xf>
    <xf numFmtId="0" fontId="3" fillId="0" borderId="55" xfId="1" quotePrefix="1" applyFont="1" applyFill="1" applyBorder="1" applyAlignment="1">
      <alignment horizontal="left" wrapText="1"/>
    </xf>
    <xf numFmtId="0" fontId="5" fillId="0" borderId="55" xfId="1" applyFont="1" applyFill="1" applyBorder="1" applyAlignment="1">
      <alignment wrapText="1"/>
    </xf>
    <xf numFmtId="0" fontId="3" fillId="0" borderId="53" xfId="1" applyFont="1" applyFill="1" applyBorder="1" applyAlignment="1">
      <alignment wrapText="1"/>
    </xf>
    <xf numFmtId="0" fontId="15" fillId="0" borderId="39" xfId="0" applyFont="1" applyFill="1" applyBorder="1" applyAlignment="1" applyProtection="1">
      <alignment wrapText="1"/>
    </xf>
    <xf numFmtId="0" fontId="3" fillId="0" borderId="55" xfId="1" applyFont="1" applyFill="1" applyBorder="1" applyAlignment="1">
      <alignment horizontal="left" wrapText="1"/>
    </xf>
    <xf numFmtId="0" fontId="3" fillId="0" borderId="55" xfId="1" applyFont="1" applyFill="1" applyBorder="1" applyAlignment="1">
      <alignment horizontal="left" wrapText="1" indent="2"/>
    </xf>
    <xf numFmtId="0" fontId="3" fillId="0" borderId="55" xfId="1" applyFont="1" applyFill="1" applyBorder="1" applyAlignment="1">
      <alignment horizontal="left" wrapText="1" indent="2" readingOrder="1"/>
    </xf>
    <xf numFmtId="0" fontId="3" fillId="0" borderId="16" xfId="0" quotePrefix="1" applyFont="1" applyFill="1" applyBorder="1" applyAlignment="1">
      <alignment horizontal="left"/>
    </xf>
    <xf numFmtId="0" fontId="3" fillId="0" borderId="46" xfId="1" applyFont="1" applyFill="1" applyBorder="1"/>
    <xf numFmtId="49" fontId="5" fillId="5" borderId="11" xfId="0" applyNumberFormat="1" applyFont="1" applyFill="1" applyBorder="1" applyAlignment="1" applyProtection="1">
      <alignment horizontal="center"/>
      <protection locked="0"/>
    </xf>
    <xf numFmtId="0" fontId="5" fillId="0" borderId="77" xfId="0" applyFont="1" applyFill="1" applyBorder="1" applyAlignment="1" applyProtection="1">
      <alignment horizontal="left"/>
      <protection locked="0"/>
    </xf>
    <xf numFmtId="49" fontId="5" fillId="5" borderId="78" xfId="0" applyNumberFormat="1" applyFont="1" applyFill="1" applyBorder="1" applyAlignment="1" applyProtection="1">
      <alignment horizontal="left"/>
      <protection locked="0"/>
    </xf>
    <xf numFmtId="49" fontId="5" fillId="5" borderId="77" xfId="0" applyNumberFormat="1" applyFont="1" applyFill="1" applyBorder="1" applyAlignment="1" applyProtection="1">
      <alignment horizontal="center"/>
      <protection locked="0"/>
    </xf>
    <xf numFmtId="49" fontId="5" fillId="5" borderId="79" xfId="0" applyNumberFormat="1" applyFont="1" applyFill="1" applyBorder="1" applyAlignment="1" applyProtection="1">
      <alignment horizontal="center"/>
      <protection locked="0"/>
    </xf>
    <xf numFmtId="49" fontId="5" fillId="5" borderId="55" xfId="0" applyNumberFormat="1" applyFont="1" applyFill="1" applyBorder="1" applyAlignment="1" applyProtection="1">
      <alignment horizontal="center"/>
      <protection locked="0"/>
    </xf>
    <xf numFmtId="0" fontId="5" fillId="5" borderId="64" xfId="0" applyFont="1" applyFill="1" applyBorder="1" applyAlignment="1" applyProtection="1">
      <alignment horizontal="left"/>
      <protection locked="0"/>
    </xf>
    <xf numFmtId="0" fontId="5" fillId="0" borderId="46" xfId="0" applyFont="1" applyFill="1" applyBorder="1" applyAlignment="1" applyProtection="1">
      <alignment horizontal="left"/>
    </xf>
    <xf numFmtId="49" fontId="5" fillId="5" borderId="46" xfId="0" applyNumberFormat="1" applyFont="1" applyFill="1" applyBorder="1" applyAlignment="1" applyProtection="1">
      <alignment horizontal="center"/>
      <protection locked="0"/>
    </xf>
    <xf numFmtId="49" fontId="5" fillId="5" borderId="76" xfId="0" applyNumberFormat="1" applyFont="1" applyFill="1" applyBorder="1" applyAlignment="1" applyProtection="1">
      <alignment horizontal="center"/>
      <protection locked="0"/>
    </xf>
    <xf numFmtId="0" fontId="5" fillId="5" borderId="22" xfId="0" applyFont="1" applyFill="1" applyBorder="1" applyAlignment="1" applyProtection="1">
      <alignment horizontal="left"/>
      <protection locked="0"/>
    </xf>
    <xf numFmtId="0" fontId="5" fillId="0" borderId="54" xfId="0" applyFont="1" applyFill="1" applyBorder="1" applyAlignment="1" applyProtection="1">
      <alignment horizontal="left"/>
    </xf>
    <xf numFmtId="0" fontId="5" fillId="5" borderId="68" xfId="0" applyFont="1" applyFill="1" applyBorder="1" applyAlignment="1" applyProtection="1">
      <alignment horizontal="left"/>
      <protection locked="0"/>
    </xf>
    <xf numFmtId="0" fontId="5" fillId="5" borderId="16" xfId="0" applyFont="1" applyFill="1" applyBorder="1" applyAlignment="1" applyProtection="1">
      <alignment horizontal="left"/>
      <protection locked="0"/>
    </xf>
    <xf numFmtId="0" fontId="5" fillId="5" borderId="17" xfId="0" applyFont="1" applyFill="1" applyBorder="1" applyAlignment="1" applyProtection="1">
      <alignment horizontal="left"/>
      <protection locked="0"/>
    </xf>
    <xf numFmtId="4" fontId="5" fillId="0" borderId="11" xfId="0" applyNumberFormat="1" applyFont="1" applyFill="1" applyBorder="1" applyAlignment="1">
      <alignment vertical="center"/>
    </xf>
    <xf numFmtId="4" fontId="5" fillId="0" borderId="28" xfId="0" applyNumberFormat="1" applyFont="1" applyFill="1" applyBorder="1" applyAlignment="1">
      <alignment vertical="center"/>
    </xf>
    <xf numFmtId="4" fontId="5" fillId="0" borderId="28" xfId="1" applyNumberFormat="1" applyFont="1" applyFill="1" applyBorder="1" applyAlignment="1">
      <alignment vertical="center"/>
    </xf>
    <xf numFmtId="0" fontId="20" fillId="0" borderId="29" xfId="0" applyFont="1" applyFill="1" applyBorder="1" applyAlignment="1" applyProtection="1">
      <alignment horizontal="center"/>
    </xf>
    <xf numFmtId="0" fontId="3" fillId="0" borderId="33" xfId="1" quotePrefix="1" applyFont="1" applyFill="1" applyBorder="1" applyAlignment="1">
      <alignment horizontal="left"/>
    </xf>
    <xf numFmtId="0" fontId="3" fillId="0" borderId="46" xfId="1" quotePrefix="1" applyFont="1" applyFill="1" applyBorder="1" applyAlignment="1">
      <alignment horizontal="left"/>
    </xf>
    <xf numFmtId="0" fontId="5" fillId="0" borderId="39" xfId="1" applyFont="1" applyFill="1" applyBorder="1" applyAlignment="1">
      <alignment horizontal="left" vertical="center" indent="7"/>
    </xf>
    <xf numFmtId="0" fontId="3" fillId="0" borderId="28" xfId="1" applyFont="1" applyFill="1" applyBorder="1" applyAlignment="1">
      <alignment horizontal="left" indent="7"/>
    </xf>
    <xf numFmtId="0" fontId="3" fillId="0" borderId="3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55" xfId="1" applyFont="1" applyFill="1" applyBorder="1" applyAlignment="1">
      <alignment vertical="center" wrapText="1"/>
    </xf>
    <xf numFmtId="2" fontId="3" fillId="0" borderId="45" xfId="1" applyNumberFormat="1" applyFont="1" applyFill="1" applyBorder="1" applyAlignment="1">
      <alignment horizontal="center" vertical="center"/>
    </xf>
    <xf numFmtId="167" fontId="3" fillId="0" borderId="34" xfId="1" applyNumberFormat="1" applyFont="1" applyFill="1" applyBorder="1" applyAlignment="1">
      <alignment horizontal="center" vertical="center"/>
    </xf>
    <xf numFmtId="2" fontId="3" fillId="0" borderId="32" xfId="1" applyNumberFormat="1" applyFont="1" applyFill="1" applyBorder="1" applyAlignment="1">
      <alignment horizontal="center" vertical="center"/>
    </xf>
    <xf numFmtId="2" fontId="3" fillId="0" borderId="6" xfId="1" applyNumberFormat="1" applyFont="1" applyFill="1" applyBorder="1" applyAlignment="1">
      <alignment horizontal="center" vertical="center"/>
    </xf>
    <xf numFmtId="2" fontId="5" fillId="0" borderId="6" xfId="1" applyNumberFormat="1" applyFont="1" applyFill="1" applyBorder="1" applyAlignment="1">
      <alignment horizontal="center" vertical="center"/>
    </xf>
    <xf numFmtId="2" fontId="3" fillId="0" borderId="34" xfId="1" applyNumberFormat="1" applyFont="1" applyFill="1" applyBorder="1" applyAlignment="1">
      <alignment horizontal="center" vertical="center"/>
    </xf>
    <xf numFmtId="4" fontId="3" fillId="5" borderId="31" xfId="0" applyNumberFormat="1" applyFont="1" applyFill="1" applyBorder="1" applyAlignment="1" applyProtection="1">
      <alignment vertical="center"/>
      <protection locked="0"/>
    </xf>
    <xf numFmtId="4" fontId="3" fillId="0" borderId="6" xfId="1" applyNumberFormat="1" applyFont="1" applyFill="1" applyBorder="1" applyAlignment="1">
      <alignment vertical="center"/>
    </xf>
    <xf numFmtId="4" fontId="3" fillId="0" borderId="4" xfId="1" applyNumberFormat="1" applyFont="1" applyFill="1" applyBorder="1" applyAlignment="1">
      <alignment vertical="center"/>
    </xf>
    <xf numFmtId="4" fontId="3" fillId="0" borderId="34" xfId="1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5" xfId="1" applyFont="1" applyFill="1" applyBorder="1" applyAlignment="1">
      <alignment horizontal="left" vertical="center" wrapText="1"/>
    </xf>
    <xf numFmtId="2" fontId="5" fillId="7" borderId="34" xfId="1" applyNumberFormat="1" applyFont="1" applyFill="1" applyBorder="1" applyAlignment="1">
      <alignment horizontal="center"/>
    </xf>
    <xf numFmtId="2" fontId="5" fillId="7" borderId="42" xfId="1" applyNumberFormat="1" applyFont="1" applyFill="1" applyBorder="1" applyAlignment="1">
      <alignment horizontal="center"/>
    </xf>
    <xf numFmtId="2" fontId="5" fillId="0" borderId="34" xfId="1" applyNumberFormat="1" applyFont="1" applyFill="1" applyBorder="1" applyAlignment="1">
      <alignment horizontal="center"/>
    </xf>
    <xf numFmtId="0" fontId="3" fillId="0" borderId="32" xfId="0" quotePrefix="1" applyFont="1" applyFill="1" applyBorder="1" applyAlignment="1">
      <alignment horizontal="left" vertical="center"/>
    </xf>
    <xf numFmtId="49" fontId="5" fillId="0" borderId="51" xfId="0" applyNumberFormat="1" applyFont="1" applyFill="1" applyBorder="1" applyAlignment="1" applyProtection="1">
      <alignment horizontal="left"/>
    </xf>
    <xf numFmtId="49" fontId="22" fillId="0" borderId="32" xfId="0" quotePrefix="1" applyNumberFormat="1" applyFont="1" applyFill="1" applyBorder="1" applyAlignment="1" applyProtection="1">
      <alignment horizontal="left"/>
      <protection locked="0"/>
    </xf>
    <xf numFmtId="49" fontId="22" fillId="0" borderId="27" xfId="0" quotePrefix="1" applyNumberFormat="1" applyFont="1" applyFill="1" applyBorder="1" applyAlignment="1" applyProtection="1">
      <alignment horizontal="left"/>
      <protection locked="0"/>
    </xf>
    <xf numFmtId="49" fontId="5" fillId="0" borderId="16" xfId="0" applyNumberFormat="1" applyFont="1" applyFill="1" applyBorder="1" applyAlignment="1" applyProtection="1">
      <alignment horizontal="left"/>
    </xf>
    <xf numFmtId="0" fontId="22" fillId="0" borderId="32" xfId="0" quotePrefix="1" applyFont="1" applyFill="1" applyBorder="1" applyAlignment="1">
      <alignment horizontal="left"/>
    </xf>
    <xf numFmtId="49" fontId="5" fillId="0" borderId="68" xfId="0" applyNumberFormat="1" applyFont="1" applyFill="1" applyBorder="1" applyAlignment="1" applyProtection="1">
      <alignment horizontal="left"/>
    </xf>
    <xf numFmtId="4" fontId="3" fillId="0" borderId="6" xfId="1" applyNumberFormat="1" applyFont="1" applyFill="1" applyBorder="1"/>
    <xf numFmtId="4" fontId="3" fillId="0" borderId="4" xfId="1" applyNumberFormat="1" applyFont="1" applyFill="1" applyBorder="1"/>
    <xf numFmtId="4" fontId="3" fillId="0" borderId="34" xfId="1" applyNumberFormat="1" applyFont="1" applyFill="1" applyBorder="1"/>
    <xf numFmtId="2" fontId="3" fillId="0" borderId="45" xfId="1" applyNumberFormat="1" applyFont="1" applyFill="1" applyBorder="1" applyAlignment="1">
      <alignment horizontal="center"/>
    </xf>
    <xf numFmtId="167" fontId="3" fillId="0" borderId="34" xfId="1" applyNumberFormat="1" applyFont="1" applyFill="1" applyBorder="1" applyAlignment="1">
      <alignment horizontal="center"/>
    </xf>
    <xf numFmtId="2" fontId="5" fillId="0" borderId="6" xfId="1" applyNumberFormat="1" applyFont="1" applyFill="1" applyBorder="1" applyAlignment="1">
      <alignment horizontal="center"/>
    </xf>
    <xf numFmtId="2" fontId="3" fillId="0" borderId="34" xfId="1" applyNumberFormat="1" applyFont="1" applyFill="1" applyBorder="1" applyAlignment="1">
      <alignment horizontal="center"/>
    </xf>
    <xf numFmtId="0" fontId="3" fillId="0" borderId="32" xfId="2" applyFont="1" applyFill="1" applyBorder="1" applyAlignment="1">
      <alignment horizontal="left"/>
    </xf>
    <xf numFmtId="49" fontId="5" fillId="0" borderId="14" xfId="1" applyNumberFormat="1" applyFont="1" applyFill="1" applyBorder="1" applyAlignment="1" applyProtection="1"/>
    <xf numFmtId="0" fontId="3" fillId="0" borderId="55" xfId="1" applyFont="1" applyFill="1" applyBorder="1" applyAlignment="1">
      <alignment wrapText="1"/>
    </xf>
    <xf numFmtId="2" fontId="3" fillId="0" borderId="37" xfId="1" applyNumberFormat="1" applyFont="1" applyFill="1" applyBorder="1" applyAlignment="1">
      <alignment horizontal="center"/>
    </xf>
    <xf numFmtId="0" fontId="3" fillId="0" borderId="33" xfId="1" applyFont="1" applyFill="1" applyBorder="1"/>
    <xf numFmtId="0" fontId="5" fillId="0" borderId="46" xfId="1" applyFont="1" applyFill="1" applyBorder="1"/>
    <xf numFmtId="0" fontId="3" fillId="0" borderId="46" xfId="1" applyFont="1" applyFill="1" applyBorder="1" applyAlignment="1">
      <alignment vertical="center"/>
    </xf>
    <xf numFmtId="2" fontId="3" fillId="0" borderId="37" xfId="1" applyNumberFormat="1" applyFont="1" applyFill="1" applyBorder="1" applyAlignment="1">
      <alignment horizontal="center" vertical="center"/>
    </xf>
    <xf numFmtId="169" fontId="27" fillId="0" borderId="0" xfId="7" applyNumberFormat="1"/>
    <xf numFmtId="0" fontId="30" fillId="0" borderId="3" xfId="7" applyFont="1" applyBorder="1" applyAlignment="1">
      <alignment horizontal="centerContinuous" vertical="center"/>
    </xf>
    <xf numFmtId="0" fontId="30" fillId="0" borderId="39" xfId="7" applyFont="1" applyBorder="1" applyAlignment="1">
      <alignment horizontal="centerContinuous" vertical="center"/>
    </xf>
    <xf numFmtId="2" fontId="31" fillId="0" borderId="22" xfId="7" applyNumberFormat="1" applyFont="1" applyBorder="1" applyAlignment="1">
      <alignment horizontal="right"/>
    </xf>
    <xf numFmtId="2" fontId="31" fillId="0" borderId="68" xfId="7" applyNumberFormat="1" applyFont="1" applyBorder="1" applyAlignment="1">
      <alignment horizontal="right"/>
    </xf>
    <xf numFmtId="2" fontId="34" fillId="0" borderId="55" xfId="7" applyNumberFormat="1" applyFont="1" applyBorder="1" applyAlignment="1">
      <alignment horizontal="center"/>
    </xf>
    <xf numFmtId="0" fontId="30" fillId="0" borderId="57" xfId="7" applyFont="1" applyBorder="1"/>
    <xf numFmtId="0" fontId="35" fillId="0" borderId="57" xfId="7" applyFont="1" applyBorder="1" applyAlignment="1">
      <alignment horizontal="right" vertical="center"/>
    </xf>
    <xf numFmtId="2" fontId="30" fillId="0" borderId="81" xfId="7" applyNumberFormat="1" applyFont="1" applyBorder="1" applyAlignment="1">
      <alignment horizontal="center"/>
    </xf>
    <xf numFmtId="0" fontId="30" fillId="0" borderId="80" xfId="7" applyFont="1" applyBorder="1"/>
    <xf numFmtId="2" fontId="31" fillId="0" borderId="80" xfId="7" applyNumberFormat="1" applyFont="1" applyBorder="1"/>
    <xf numFmtId="2" fontId="31" fillId="0" borderId="53" xfId="7" applyNumberFormat="1" applyFont="1" applyBorder="1" applyAlignment="1">
      <alignment horizontal="center"/>
    </xf>
    <xf numFmtId="0" fontId="30" fillId="0" borderId="68" xfId="7" applyFont="1" applyBorder="1"/>
    <xf numFmtId="2" fontId="31" fillId="0" borderId="68" xfId="7" applyNumberFormat="1" applyFont="1" applyBorder="1"/>
    <xf numFmtId="2" fontId="31" fillId="0" borderId="55" xfId="7" applyNumberFormat="1" applyFont="1" applyBorder="1" applyAlignment="1">
      <alignment horizontal="center"/>
    </xf>
    <xf numFmtId="0" fontId="37" fillId="2" borderId="3" xfId="7" applyFont="1" applyFill="1" applyBorder="1"/>
    <xf numFmtId="0" fontId="38" fillId="2" borderId="3" xfId="7" applyFont="1" applyFill="1" applyBorder="1"/>
    <xf numFmtId="2" fontId="37" fillId="2" borderId="39" xfId="7" applyNumberFormat="1" applyFont="1" applyFill="1" applyBorder="1" applyAlignment="1">
      <alignment horizontal="center"/>
    </xf>
    <xf numFmtId="0" fontId="30" fillId="0" borderId="39" xfId="7" applyFont="1" applyBorder="1" applyAlignment="1">
      <alignment horizontal="center"/>
    </xf>
    <xf numFmtId="0" fontId="31" fillId="11" borderId="2" xfId="7" applyFont="1" applyFill="1" applyBorder="1"/>
    <xf numFmtId="169" fontId="30" fillId="11" borderId="3" xfId="7" applyNumberFormat="1" applyFont="1" applyFill="1" applyBorder="1" applyAlignment="1" applyProtection="1">
      <alignment horizontal="centerContinuous"/>
      <protection locked="0"/>
    </xf>
    <xf numFmtId="9" fontId="30" fillId="11" borderId="39" xfId="7" applyNumberFormat="1" applyFont="1" applyFill="1" applyBorder="1" applyAlignment="1">
      <alignment horizontal="centerContinuous"/>
    </xf>
    <xf numFmtId="0" fontId="39" fillId="0" borderId="0" xfId="7" applyFont="1"/>
    <xf numFmtId="4" fontId="30" fillId="11" borderId="3" xfId="7" applyNumberFormat="1" applyFont="1" applyFill="1" applyBorder="1" applyAlignment="1" applyProtection="1">
      <alignment horizontal="centerContinuous"/>
      <protection locked="0"/>
    </xf>
    <xf numFmtId="0" fontId="40" fillId="0" borderId="0" xfId="7" applyFont="1"/>
    <xf numFmtId="0" fontId="41" fillId="0" borderId="0" xfId="7" applyFont="1"/>
    <xf numFmtId="0" fontId="41" fillId="0" borderId="0" xfId="7" applyFont="1" applyAlignment="1">
      <alignment horizontal="center"/>
    </xf>
    <xf numFmtId="2" fontId="34" fillId="0" borderId="0" xfId="7" applyNumberFormat="1" applyFont="1" applyBorder="1" applyAlignment="1">
      <alignment horizontal="left"/>
    </xf>
    <xf numFmtId="2" fontId="34" fillId="0" borderId="6" xfId="7" applyNumberFormat="1" applyFont="1" applyBorder="1" applyAlignment="1">
      <alignment horizontal="right"/>
    </xf>
    <xf numFmtId="2" fontId="34" fillId="0" borderId="6" xfId="7" quotePrefix="1" applyNumberFormat="1" applyFont="1" applyBorder="1" applyAlignment="1">
      <alignment horizontal="right"/>
    </xf>
    <xf numFmtId="0" fontId="3" fillId="2" borderId="32" xfId="0" applyFont="1" applyFill="1" applyBorder="1" applyAlignment="1">
      <alignment horizontal="left"/>
    </xf>
    <xf numFmtId="0" fontId="3" fillId="4" borderId="46" xfId="1" quotePrefix="1" applyFont="1" applyFill="1" applyBorder="1" applyAlignment="1">
      <alignment horizontal="left"/>
    </xf>
    <xf numFmtId="0" fontId="27" fillId="0" borderId="0" xfId="7" applyFont="1"/>
    <xf numFmtId="10" fontId="5" fillId="0" borderId="29" xfId="4" applyNumberFormat="1" applyFont="1" applyFill="1" applyBorder="1" applyAlignment="1" applyProtection="1">
      <alignment horizontal="right"/>
      <protection locked="0"/>
    </xf>
    <xf numFmtId="10" fontId="5" fillId="2" borderId="29" xfId="4" applyNumberFormat="1" applyFont="1" applyFill="1" applyBorder="1" applyAlignment="1" applyProtection="1">
      <alignment horizontal="right"/>
      <protection locked="0"/>
    </xf>
    <xf numFmtId="2" fontId="3" fillId="0" borderId="6" xfId="1" applyNumberFormat="1" applyFont="1" applyFill="1" applyBorder="1" applyAlignment="1">
      <alignment horizontal="right"/>
    </xf>
    <xf numFmtId="2" fontId="5" fillId="0" borderId="6" xfId="1" applyNumberFormat="1" applyFont="1" applyFill="1" applyBorder="1" applyAlignment="1">
      <alignment horizontal="right"/>
    </xf>
    <xf numFmtId="2" fontId="5" fillId="0" borderId="31" xfId="1" applyNumberFormat="1" applyFont="1" applyFill="1" applyBorder="1" applyAlignment="1">
      <alignment horizontal="right"/>
    </xf>
    <xf numFmtId="2" fontId="3" fillId="0" borderId="41" xfId="1" applyNumberFormat="1" applyFont="1" applyFill="1" applyBorder="1" applyAlignment="1">
      <alignment horizontal="right"/>
    </xf>
    <xf numFmtId="2" fontId="5" fillId="0" borderId="1" xfId="1" applyNumberFormat="1" applyFont="1" applyFill="1" applyBorder="1" applyAlignment="1">
      <alignment horizontal="right"/>
    </xf>
    <xf numFmtId="2" fontId="3" fillId="0" borderId="6" xfId="1" quotePrefix="1" applyNumberFormat="1" applyFont="1" applyFill="1" applyBorder="1" applyAlignment="1">
      <alignment horizontal="center"/>
    </xf>
    <xf numFmtId="0" fontId="31" fillId="0" borderId="2" xfId="7" applyFont="1" applyFill="1" applyBorder="1"/>
    <xf numFmtId="169" fontId="30" fillId="0" borderId="3" xfId="7" applyNumberFormat="1" applyFont="1" applyFill="1" applyBorder="1" applyAlignment="1" applyProtection="1">
      <alignment horizontal="centerContinuous"/>
      <protection locked="0"/>
    </xf>
    <xf numFmtId="9" fontId="30" fillId="0" borderId="39" xfId="7" applyNumberFormat="1" applyFont="1" applyFill="1" applyBorder="1" applyAlignment="1">
      <alignment horizontal="centerContinuous"/>
    </xf>
    <xf numFmtId="2" fontId="30" fillId="11" borderId="29" xfId="7" applyNumberFormat="1" applyFont="1" applyFill="1" applyBorder="1" applyAlignment="1" applyProtection="1">
      <alignment horizontal="centerContinuous"/>
      <protection locked="0"/>
    </xf>
    <xf numFmtId="2" fontId="31" fillId="0" borderId="57" xfId="7" applyNumberFormat="1" applyFont="1" applyBorder="1"/>
    <xf numFmtId="2" fontId="31" fillId="0" borderId="81" xfId="7" applyNumberFormat="1" applyFont="1" applyBorder="1" applyAlignment="1">
      <alignment horizontal="center"/>
    </xf>
    <xf numFmtId="4" fontId="3" fillId="0" borderId="31" xfId="0" applyNumberFormat="1" applyFont="1" applyFill="1" applyBorder="1" applyAlignment="1" applyProtection="1">
      <protection locked="0"/>
    </xf>
    <xf numFmtId="2" fontId="3" fillId="0" borderId="6" xfId="1" applyNumberFormat="1" applyFont="1" applyFill="1" applyBorder="1" applyAlignment="1">
      <alignment horizontal="center"/>
    </xf>
    <xf numFmtId="0" fontId="42" fillId="2" borderId="29" xfId="7" applyFont="1" applyFill="1" applyBorder="1" applyAlignment="1">
      <alignment horizontal="center"/>
    </xf>
    <xf numFmtId="4" fontId="3" fillId="2" borderId="31" xfId="0" applyNumberFormat="1" applyFont="1" applyFill="1" applyBorder="1" applyAlignment="1" applyProtection="1">
      <protection locked="0"/>
    </xf>
    <xf numFmtId="0" fontId="3" fillId="6" borderId="55" xfId="1" applyFont="1" applyFill="1" applyBorder="1" applyAlignment="1">
      <alignment wrapText="1"/>
    </xf>
    <xf numFmtId="4" fontId="3" fillId="5" borderId="1" xfId="0" applyNumberFormat="1" applyFont="1" applyFill="1" applyBorder="1" applyAlignment="1" applyProtection="1">
      <protection locked="0"/>
    </xf>
    <xf numFmtId="4" fontId="3" fillId="5" borderId="28" xfId="0" applyNumberFormat="1" applyFont="1" applyFill="1" applyBorder="1" applyAlignment="1" applyProtection="1">
      <protection locked="0"/>
    </xf>
    <xf numFmtId="4" fontId="3" fillId="12" borderId="31" xfId="0" applyNumberFormat="1" applyFont="1" applyFill="1" applyBorder="1" applyAlignment="1" applyProtection="1">
      <protection locked="0"/>
    </xf>
    <xf numFmtId="4" fontId="3" fillId="0" borderId="0" xfId="0" applyNumberFormat="1" applyFont="1" applyFill="1"/>
    <xf numFmtId="2" fontId="3" fillId="6" borderId="45" xfId="1" applyNumberFormat="1" applyFont="1" applyFill="1" applyBorder="1" applyAlignment="1">
      <alignment horizontal="center"/>
    </xf>
    <xf numFmtId="0" fontId="43" fillId="3" borderId="22" xfId="14" applyFont="1" applyFill="1" applyBorder="1" applyAlignment="1" applyProtection="1">
      <alignment horizontal="left"/>
    </xf>
    <xf numFmtId="0" fontId="3" fillId="3" borderId="20" xfId="14" quotePrefix="1" applyFont="1" applyFill="1" applyBorder="1" applyAlignment="1" applyProtection="1">
      <alignment horizontal="left" indent="3"/>
    </xf>
    <xf numFmtId="0" fontId="43" fillId="3" borderId="20" xfId="14" applyFont="1" applyFill="1" applyBorder="1" applyAlignment="1" applyProtection="1">
      <alignment horizontal="centerContinuous"/>
    </xf>
    <xf numFmtId="0" fontId="3" fillId="3" borderId="20" xfId="14" quotePrefix="1" applyFont="1" applyFill="1" applyBorder="1" applyAlignment="1" applyProtection="1">
      <alignment horizontal="left"/>
    </xf>
    <xf numFmtId="0" fontId="3" fillId="3" borderId="10" xfId="14" applyFill="1" applyBorder="1" applyProtection="1"/>
    <xf numFmtId="0" fontId="3" fillId="3" borderId="13" xfId="14" applyFill="1" applyBorder="1" applyProtection="1"/>
    <xf numFmtId="0" fontId="3" fillId="0" borderId="0" xfId="14" applyProtection="1">
      <protection locked="0"/>
    </xf>
    <xf numFmtId="0" fontId="5" fillId="3" borderId="82" xfId="14" applyFont="1" applyFill="1" applyBorder="1" applyAlignment="1" applyProtection="1">
      <alignment horizontal="left"/>
    </xf>
    <xf numFmtId="0" fontId="5" fillId="6" borderId="83" xfId="14" applyFont="1" applyFill="1" applyBorder="1" applyAlignment="1" applyProtection="1">
      <alignment horizontal="left"/>
    </xf>
    <xf numFmtId="0" fontId="5" fillId="6" borderId="64" xfId="14" applyFont="1" applyFill="1" applyBorder="1" applyAlignment="1" applyProtection="1">
      <alignment horizontal="left"/>
    </xf>
    <xf numFmtId="0" fontId="5" fillId="6" borderId="84" xfId="14" applyFont="1" applyFill="1" applyBorder="1" applyAlignment="1" applyProtection="1">
      <alignment horizontal="left"/>
    </xf>
    <xf numFmtId="49" fontId="5" fillId="6" borderId="45" xfId="14" applyNumberFormat="1" applyFont="1" applyFill="1" applyBorder="1" applyAlignment="1" applyProtection="1">
      <alignment horizontal="center"/>
    </xf>
    <xf numFmtId="0" fontId="3" fillId="6" borderId="9" xfId="14" applyFill="1" applyBorder="1" applyProtection="1"/>
    <xf numFmtId="0" fontId="3" fillId="6" borderId="7" xfId="14" applyFill="1" applyBorder="1" applyProtection="1"/>
    <xf numFmtId="0" fontId="5" fillId="3" borderId="86" xfId="14" applyFont="1" applyFill="1" applyBorder="1" applyAlignment="1" applyProtection="1">
      <alignment horizontal="left"/>
    </xf>
    <xf numFmtId="0" fontId="5" fillId="6" borderId="87" xfId="14" applyFont="1" applyFill="1" applyBorder="1" applyProtection="1"/>
    <xf numFmtId="0" fontId="5" fillId="6" borderId="11" xfId="14" applyFont="1" applyFill="1" applyBorder="1" applyAlignment="1" applyProtection="1">
      <alignment horizontal="left"/>
    </xf>
    <xf numFmtId="0" fontId="5" fillId="6" borderId="88" xfId="14" applyFont="1" applyFill="1" applyBorder="1" applyAlignment="1" applyProtection="1">
      <alignment horizontal="left"/>
    </xf>
    <xf numFmtId="49" fontId="5" fillId="6" borderId="89" xfId="14" applyNumberFormat="1" applyFont="1" applyFill="1" applyBorder="1" applyAlignment="1" applyProtection="1">
      <alignment horizontal="center"/>
    </xf>
    <xf numFmtId="0" fontId="3" fillId="6" borderId="70" xfId="14" applyFill="1" applyBorder="1" applyProtection="1"/>
    <xf numFmtId="0" fontId="3" fillId="6" borderId="90" xfId="14" applyFill="1" applyBorder="1" applyProtection="1"/>
    <xf numFmtId="10" fontId="3" fillId="6" borderId="91" xfId="21" applyNumberFormat="1" applyFont="1" applyFill="1" applyBorder="1" applyProtection="1"/>
    <xf numFmtId="0" fontId="30" fillId="3" borderId="14" xfId="14" applyFont="1" applyFill="1" applyBorder="1" applyAlignment="1" applyProtection="1">
      <alignment horizontal="centerContinuous"/>
    </xf>
    <xf numFmtId="0" fontId="31" fillId="6" borderId="0" xfId="14" applyFont="1" applyFill="1" applyBorder="1" applyAlignment="1" applyProtection="1">
      <alignment horizontal="centerContinuous"/>
    </xf>
    <xf numFmtId="0" fontId="31" fillId="6" borderId="15" xfId="14" applyFont="1" applyFill="1" applyBorder="1" applyAlignment="1" applyProtection="1">
      <alignment horizontal="centerContinuous"/>
    </xf>
    <xf numFmtId="0" fontId="44" fillId="3" borderId="40" xfId="14" applyFont="1" applyFill="1" applyBorder="1" applyAlignment="1" applyProtection="1">
      <alignment horizontal="center"/>
    </xf>
    <xf numFmtId="0" fontId="44" fillId="6" borderId="92" xfId="14" applyFont="1" applyFill="1" applyBorder="1" applyAlignment="1" applyProtection="1">
      <alignment horizontal="centerContinuous"/>
    </xf>
    <xf numFmtId="0" fontId="45" fillId="6" borderId="41" xfId="14" applyFont="1" applyFill="1" applyBorder="1" applyAlignment="1" applyProtection="1">
      <alignment textRotation="180"/>
    </xf>
    <xf numFmtId="0" fontId="44" fillId="6" borderId="7" xfId="14" applyFont="1" applyFill="1" applyBorder="1" applyAlignment="1" applyProtection="1">
      <alignment horizontal="centerContinuous"/>
    </xf>
    <xf numFmtId="0" fontId="44" fillId="6" borderId="64" xfId="14" applyFont="1" applyFill="1" applyBorder="1" applyAlignment="1" applyProtection="1">
      <alignment horizontal="centerContinuous"/>
    </xf>
    <xf numFmtId="0" fontId="44" fillId="6" borderId="45" xfId="14" applyFont="1" applyFill="1" applyBorder="1" applyAlignment="1" applyProtection="1">
      <alignment horizontal="centerContinuous"/>
    </xf>
    <xf numFmtId="0" fontId="44" fillId="6" borderId="41" xfId="14" applyFont="1" applyFill="1" applyBorder="1" applyAlignment="1" applyProtection="1">
      <alignment horizontal="center"/>
    </xf>
    <xf numFmtId="0" fontId="44" fillId="6" borderId="42" xfId="14" applyFont="1" applyFill="1" applyBorder="1" applyAlignment="1" applyProtection="1">
      <alignment horizontal="center"/>
    </xf>
    <xf numFmtId="0" fontId="44" fillId="3" borderId="93" xfId="14" applyFont="1" applyFill="1" applyBorder="1" applyAlignment="1" applyProtection="1">
      <alignment horizontal="center"/>
    </xf>
    <xf numFmtId="0" fontId="44" fillId="6" borderId="94" xfId="14" applyFont="1" applyFill="1" applyBorder="1" applyProtection="1"/>
    <xf numFmtId="0" fontId="45" fillId="6" borderId="94" xfId="14" applyFont="1" applyFill="1" applyBorder="1" applyAlignment="1" applyProtection="1">
      <alignment textRotation="180"/>
    </xf>
    <xf numFmtId="0" fontId="44" fillId="6" borderId="95" xfId="14" applyFont="1" applyFill="1" applyBorder="1" applyAlignment="1" applyProtection="1">
      <alignment horizontal="center"/>
    </xf>
    <xf numFmtId="0" fontId="44" fillId="6" borderId="96" xfId="14" applyFont="1" applyFill="1" applyBorder="1" applyAlignment="1" applyProtection="1">
      <alignment horizontal="center"/>
    </xf>
    <xf numFmtId="0" fontId="44" fillId="6" borderId="97" xfId="14" applyFont="1" applyFill="1" applyBorder="1" applyAlignment="1" applyProtection="1">
      <alignment horizontal="center"/>
    </xf>
    <xf numFmtId="0" fontId="46" fillId="3" borderId="37" xfId="14" applyFont="1" applyFill="1" applyBorder="1" applyAlignment="1" applyProtection="1">
      <alignment horizontal="center"/>
    </xf>
    <xf numFmtId="0" fontId="46" fillId="6" borderId="90" xfId="14" applyFont="1" applyFill="1" applyBorder="1" applyProtection="1"/>
    <xf numFmtId="0" fontId="47" fillId="6" borderId="6" xfId="14" applyFont="1" applyFill="1" applyBorder="1" applyProtection="1"/>
    <xf numFmtId="0" fontId="46" fillId="6" borderId="47" xfId="14" applyFont="1" applyFill="1" applyBorder="1" applyAlignment="1" applyProtection="1">
      <alignment horizontal="center"/>
    </xf>
    <xf numFmtId="0" fontId="46" fillId="6" borderId="31" xfId="14" applyFont="1" applyFill="1" applyBorder="1" applyAlignment="1" applyProtection="1">
      <alignment horizontal="center"/>
    </xf>
    <xf numFmtId="40" fontId="46" fillId="6" borderId="31" xfId="14" applyNumberFormat="1" applyFont="1" applyFill="1" applyBorder="1" applyAlignment="1" applyProtection="1">
      <alignment horizontal="right"/>
      <protection locked="0"/>
    </xf>
    <xf numFmtId="2" fontId="46" fillId="6" borderId="48" xfId="14" applyNumberFormat="1" applyFont="1" applyFill="1" applyBorder="1" applyProtection="1"/>
    <xf numFmtId="2" fontId="3" fillId="0" borderId="0" xfId="14" applyNumberFormat="1" applyProtection="1">
      <protection locked="0"/>
    </xf>
    <xf numFmtId="0" fontId="46" fillId="6" borderId="6" xfId="14" applyFont="1" applyFill="1" applyBorder="1" applyAlignment="1" applyProtection="1">
      <alignment horizontal="center"/>
    </xf>
    <xf numFmtId="0" fontId="46" fillId="6" borderId="45" xfId="14" applyFont="1" applyFill="1" applyBorder="1" applyAlignment="1" applyProtection="1">
      <alignment horizontal="center"/>
    </xf>
    <xf numFmtId="0" fontId="46" fillId="3" borderId="32" xfId="14" applyFont="1" applyFill="1" applyBorder="1" applyAlignment="1" applyProtection="1">
      <alignment horizontal="center"/>
    </xf>
    <xf numFmtId="0" fontId="48" fillId="6" borderId="6" xfId="14" applyFont="1" applyFill="1" applyBorder="1" applyProtection="1"/>
    <xf numFmtId="0" fontId="3" fillId="3" borderId="98" xfId="14" applyFill="1" applyBorder="1" applyProtection="1"/>
    <xf numFmtId="0" fontId="3" fillId="6" borderId="99" xfId="14" applyFill="1" applyBorder="1" applyProtection="1"/>
    <xf numFmtId="0" fontId="2" fillId="6" borderId="99" xfId="14" applyFont="1" applyFill="1" applyBorder="1" applyProtection="1"/>
    <xf numFmtId="40" fontId="2" fillId="6" borderId="99" xfId="14" applyNumberFormat="1" applyFont="1" applyFill="1" applyBorder="1" applyProtection="1"/>
    <xf numFmtId="0" fontId="2" fillId="6" borderId="100" xfId="14" applyFont="1" applyFill="1" applyBorder="1" applyProtection="1"/>
    <xf numFmtId="0" fontId="3" fillId="3" borderId="101" xfId="14" applyFill="1" applyBorder="1" applyProtection="1"/>
    <xf numFmtId="0" fontId="5" fillId="6" borderId="102" xfId="14" applyFont="1" applyFill="1" applyBorder="1" applyAlignment="1" applyProtection="1">
      <alignment horizontal="centerContinuous"/>
    </xf>
    <xf numFmtId="0" fontId="3" fillId="6" borderId="102" xfId="14" applyFill="1" applyBorder="1" applyAlignment="1" applyProtection="1">
      <alignment horizontal="centerContinuous"/>
    </xf>
    <xf numFmtId="0" fontId="2" fillId="6" borderId="102" xfId="14" applyFont="1" applyFill="1" applyBorder="1" applyProtection="1"/>
    <xf numFmtId="40" fontId="49" fillId="6" borderId="103" xfId="14" applyNumberFormat="1" applyFont="1" applyFill="1" applyBorder="1" applyProtection="1"/>
    <xf numFmtId="2" fontId="49" fillId="6" borderId="104" xfId="14" applyNumberFormat="1" applyFont="1" applyFill="1" applyBorder="1" applyProtection="1"/>
    <xf numFmtId="0" fontId="30" fillId="3" borderId="80" xfId="14" applyFont="1" applyFill="1" applyBorder="1" applyAlignment="1" applyProtection="1">
      <alignment horizontal="centerContinuous"/>
    </xf>
    <xf numFmtId="0" fontId="31" fillId="6" borderId="70" xfId="14" applyFont="1" applyFill="1" applyBorder="1" applyAlignment="1" applyProtection="1">
      <alignment horizontal="centerContinuous"/>
    </xf>
    <xf numFmtId="0" fontId="2" fillId="6" borderId="70" xfId="14" applyFont="1" applyFill="1" applyBorder="1" applyAlignment="1" applyProtection="1">
      <alignment horizontal="centerContinuous"/>
    </xf>
    <xf numFmtId="0" fontId="2" fillId="6" borderId="53" xfId="14" applyFont="1" applyFill="1" applyBorder="1" applyAlignment="1" applyProtection="1">
      <alignment horizontal="centerContinuous"/>
    </xf>
    <xf numFmtId="0" fontId="3" fillId="3" borderId="93" xfId="14" applyFont="1" applyFill="1" applyBorder="1" applyAlignment="1" applyProtection="1">
      <alignment horizontal="center"/>
    </xf>
    <xf numFmtId="0" fontId="3" fillId="6" borderId="105" xfId="14" applyFont="1" applyFill="1" applyBorder="1" applyAlignment="1" applyProtection="1">
      <alignment horizontal="center"/>
    </xf>
    <xf numFmtId="0" fontId="2" fillId="6" borderId="105" xfId="14" applyFont="1" applyFill="1" applyBorder="1" applyAlignment="1" applyProtection="1">
      <alignment horizontal="centerContinuous"/>
    </xf>
    <xf numFmtId="0" fontId="2" fillId="6" borderId="1" xfId="14" applyFont="1" applyFill="1" applyBorder="1" applyAlignment="1" applyProtection="1">
      <alignment horizontal="center"/>
    </xf>
    <xf numFmtId="0" fontId="2" fillId="6" borderId="106" xfId="14" applyFont="1" applyFill="1" applyBorder="1" applyAlignment="1" applyProtection="1">
      <alignment horizontal="center"/>
    </xf>
    <xf numFmtId="0" fontId="3" fillId="3" borderId="107" xfId="14" applyFont="1" applyFill="1" applyBorder="1" applyAlignment="1" applyProtection="1">
      <alignment horizontal="center"/>
    </xf>
    <xf numFmtId="0" fontId="3" fillId="6" borderId="108" xfId="14" applyFont="1" applyFill="1" applyBorder="1" applyAlignment="1" applyProtection="1">
      <alignment horizontal="center"/>
    </xf>
    <xf numFmtId="0" fontId="2" fillId="6" borderId="108" xfId="14" applyFont="1" applyFill="1" applyBorder="1" applyAlignment="1" applyProtection="1">
      <alignment horizontal="center"/>
    </xf>
    <xf numFmtId="0" fontId="2" fillId="6" borderId="31" xfId="14" applyFont="1" applyFill="1" applyBorder="1" applyAlignment="1" applyProtection="1">
      <alignment horizontal="center"/>
    </xf>
    <xf numFmtId="0" fontId="2" fillId="6" borderId="48" xfId="14" applyFont="1" applyFill="1" applyBorder="1" applyAlignment="1" applyProtection="1">
      <alignment horizontal="center"/>
    </xf>
    <xf numFmtId="0" fontId="2" fillId="3" borderId="32" xfId="14" applyFont="1" applyFill="1" applyBorder="1" applyAlignment="1" applyProtection="1">
      <alignment horizontal="center"/>
    </xf>
    <xf numFmtId="0" fontId="2" fillId="6" borderId="6" xfId="14" applyFont="1" applyFill="1" applyBorder="1" applyProtection="1"/>
    <xf numFmtId="40" fontId="2" fillId="6" borderId="6" xfId="14" applyNumberFormat="1" applyFont="1" applyFill="1" applyBorder="1" applyProtection="1"/>
    <xf numFmtId="10" fontId="2" fillId="6" borderId="34" xfId="21" applyNumberFormat="1" applyFont="1" applyFill="1" applyBorder="1" applyProtection="1"/>
    <xf numFmtId="40" fontId="3" fillId="0" borderId="0" xfId="14" applyNumberFormat="1" applyProtection="1">
      <protection locked="0"/>
    </xf>
    <xf numFmtId="0" fontId="2" fillId="3" borderId="40" xfId="14" applyFont="1" applyFill="1" applyBorder="1" applyAlignment="1" applyProtection="1">
      <alignment horizontal="center"/>
    </xf>
    <xf numFmtId="0" fontId="2" fillId="6" borderId="41" xfId="14" applyFont="1" applyFill="1" applyBorder="1" applyProtection="1"/>
    <xf numFmtId="40" fontId="2" fillId="6" borderId="41" xfId="14" applyNumberFormat="1" applyFont="1" applyFill="1" applyBorder="1" applyProtection="1"/>
    <xf numFmtId="9" fontId="0" fillId="0" borderId="0" xfId="21" applyFont="1" applyProtection="1">
      <protection locked="0"/>
    </xf>
    <xf numFmtId="0" fontId="2" fillId="3" borderId="68" xfId="14" applyFont="1" applyFill="1" applyBorder="1" applyAlignment="1" applyProtection="1">
      <alignment horizontal="center"/>
    </xf>
    <xf numFmtId="0" fontId="2" fillId="6" borderId="64" xfId="14" applyFont="1" applyFill="1" applyBorder="1" applyProtection="1"/>
    <xf numFmtId="40" fontId="2" fillId="6" borderId="64" xfId="14" applyNumberFormat="1" applyFont="1" applyFill="1" applyBorder="1" applyProtection="1"/>
    <xf numFmtId="9" fontId="2" fillId="6" borderId="55" xfId="21" applyFont="1" applyFill="1" applyBorder="1" applyProtection="1"/>
    <xf numFmtId="0" fontId="2" fillId="3" borderId="109" xfId="14" applyFont="1" applyFill="1" applyBorder="1" applyProtection="1"/>
    <xf numFmtId="0" fontId="2" fillId="6" borderId="31" xfId="14" applyFont="1" applyFill="1" applyBorder="1" applyProtection="1"/>
    <xf numFmtId="40" fontId="2" fillId="6" borderId="31" xfId="14" applyNumberFormat="1" applyFont="1" applyFill="1" applyBorder="1" applyProtection="1"/>
    <xf numFmtId="10" fontId="2" fillId="6" borderId="48" xfId="21" applyNumberFormat="1" applyFont="1" applyFill="1" applyBorder="1" applyProtection="1"/>
    <xf numFmtId="0" fontId="2" fillId="6" borderId="1" xfId="14" applyFont="1" applyFill="1" applyBorder="1" applyProtection="1"/>
    <xf numFmtId="0" fontId="2" fillId="3" borderId="68" xfId="14" applyFont="1" applyFill="1" applyBorder="1" applyProtection="1"/>
    <xf numFmtId="0" fontId="5" fillId="3" borderId="93" xfId="14" applyFont="1" applyFill="1" applyBorder="1" applyAlignment="1" applyProtection="1">
      <alignment horizontal="centerContinuous"/>
    </xf>
    <xf numFmtId="0" fontId="3" fillId="6" borderId="96" xfId="14" applyFont="1" applyFill="1" applyBorder="1" applyAlignment="1" applyProtection="1">
      <alignment horizontal="centerContinuous"/>
    </xf>
    <xf numFmtId="0" fontId="3" fillId="6" borderId="96" xfId="14" applyFont="1" applyFill="1" applyBorder="1" applyProtection="1"/>
    <xf numFmtId="40" fontId="49" fillId="6" borderId="96" xfId="14" applyNumberFormat="1" applyFont="1" applyFill="1" applyBorder="1" applyProtection="1"/>
    <xf numFmtId="40" fontId="49" fillId="6" borderId="1" xfId="14" applyNumberFormat="1" applyFont="1" applyFill="1" applyBorder="1" applyProtection="1"/>
    <xf numFmtId="9" fontId="49" fillId="6" borderId="106" xfId="21" applyFont="1" applyFill="1" applyBorder="1" applyProtection="1"/>
    <xf numFmtId="0" fontId="5" fillId="3" borderId="110" xfId="14" applyFont="1" applyFill="1" applyBorder="1" applyAlignment="1" applyProtection="1">
      <alignment horizontal="centerContinuous"/>
    </xf>
    <xf numFmtId="0" fontId="3" fillId="6" borderId="111" xfId="14" applyFont="1" applyFill="1" applyBorder="1" applyAlignment="1" applyProtection="1">
      <alignment horizontal="centerContinuous"/>
    </xf>
    <xf numFmtId="0" fontId="3" fillId="6" borderId="111" xfId="14" applyFont="1" applyFill="1" applyBorder="1" applyProtection="1"/>
    <xf numFmtId="10" fontId="49" fillId="6" borderId="111" xfId="21" applyNumberFormat="1" applyFont="1" applyFill="1" applyBorder="1" applyProtection="1"/>
    <xf numFmtId="10" fontId="49" fillId="6" borderId="103" xfId="21" applyNumberFormat="1" applyFont="1" applyFill="1" applyBorder="1" applyProtection="1"/>
    <xf numFmtId="9" fontId="49" fillId="6" borderId="112" xfId="21" applyFont="1" applyFill="1" applyBorder="1" applyProtection="1"/>
    <xf numFmtId="0" fontId="3" fillId="6" borderId="92" xfId="14" applyFill="1" applyBorder="1" applyProtection="1">
      <protection locked="0"/>
    </xf>
    <xf numFmtId="0" fontId="3" fillId="6" borderId="9" xfId="14" applyFill="1" applyBorder="1" applyProtection="1">
      <protection locked="0"/>
    </xf>
    <xf numFmtId="0" fontId="3" fillId="6" borderId="9" xfId="14" applyFont="1" applyFill="1" applyBorder="1" applyAlignment="1" applyProtection="1">
      <alignment horizontal="left" vertical="top"/>
      <protection locked="0"/>
    </xf>
    <xf numFmtId="0" fontId="3" fillId="6" borderId="9" xfId="14" applyFont="1" applyFill="1" applyBorder="1" applyAlignment="1" applyProtection="1">
      <alignment horizontal="centerContinuous" vertical="center"/>
      <protection locked="0"/>
    </xf>
    <xf numFmtId="0" fontId="3" fillId="6" borderId="44" xfId="14" applyFont="1" applyFill="1" applyBorder="1" applyProtection="1">
      <protection locked="0"/>
    </xf>
    <xf numFmtId="0" fontId="3" fillId="6" borderId="0" xfId="14" applyFont="1" applyFill="1" applyBorder="1" applyProtection="1">
      <protection locked="0"/>
    </xf>
    <xf numFmtId="0" fontId="3" fillId="6" borderId="113" xfId="14" applyFont="1" applyFill="1" applyBorder="1" applyProtection="1">
      <protection locked="0"/>
    </xf>
    <xf numFmtId="0" fontId="3" fillId="6" borderId="114" xfId="14" applyFont="1" applyFill="1" applyBorder="1" applyProtection="1">
      <protection locked="0"/>
    </xf>
    <xf numFmtId="0" fontId="3" fillId="6" borderId="92" xfId="14" applyFont="1" applyFill="1" applyBorder="1" applyProtection="1">
      <protection locked="0"/>
    </xf>
    <xf numFmtId="0" fontId="3" fillId="0" borderId="90" xfId="14" applyBorder="1" applyProtection="1">
      <protection locked="0"/>
    </xf>
    <xf numFmtId="0" fontId="3" fillId="0" borderId="70" xfId="14" applyBorder="1" applyProtection="1">
      <protection locked="0"/>
    </xf>
    <xf numFmtId="0" fontId="3" fillId="0" borderId="47" xfId="14" applyBorder="1" applyProtection="1">
      <protection locked="0"/>
    </xf>
    <xf numFmtId="10" fontId="3" fillId="6" borderId="85" xfId="4" applyNumberFormat="1" applyFont="1" applyFill="1" applyBorder="1" applyProtection="1"/>
    <xf numFmtId="0" fontId="5" fillId="4" borderId="75" xfId="1" applyFont="1" applyFill="1" applyBorder="1" applyAlignment="1">
      <alignment horizontal="center" vertical="center"/>
    </xf>
    <xf numFmtId="4" fontId="5" fillId="0" borderId="17" xfId="1" applyNumberFormat="1" applyFont="1" applyFill="1" applyBorder="1" applyAlignment="1" applyProtection="1"/>
    <xf numFmtId="0" fontId="15" fillId="0" borderId="43" xfId="5" applyFont="1" applyFill="1" applyBorder="1" applyAlignment="1" applyProtection="1"/>
    <xf numFmtId="4" fontId="5" fillId="2" borderId="29" xfId="1" applyNumberFormat="1" applyFont="1" applyFill="1" applyBorder="1" applyAlignment="1">
      <alignment vertical="center"/>
    </xf>
    <xf numFmtId="0" fontId="3" fillId="2" borderId="0" xfId="0" applyFont="1" applyFill="1" applyAlignment="1">
      <alignment horizontal="right"/>
    </xf>
    <xf numFmtId="0" fontId="5" fillId="2" borderId="12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13" xfId="0" applyFont="1" applyFill="1" applyBorder="1" applyAlignment="1">
      <alignment horizontal="centerContinuous" vertical="center"/>
    </xf>
    <xf numFmtId="4" fontId="3" fillId="6" borderId="31" xfId="0" applyNumberFormat="1" applyFont="1" applyFill="1" applyBorder="1" applyAlignment="1" applyProtection="1">
      <protection locked="0"/>
    </xf>
    <xf numFmtId="0" fontId="30" fillId="0" borderId="12" xfId="7" applyFont="1" applyBorder="1" applyAlignment="1">
      <alignment horizontal="center" vertical="center"/>
    </xf>
    <xf numFmtId="0" fontId="30" fillId="0" borderId="14" xfId="7" applyFont="1" applyBorder="1" applyAlignment="1">
      <alignment horizontal="center" vertical="center"/>
    </xf>
    <xf numFmtId="0" fontId="30" fillId="0" borderId="80" xfId="7" applyFont="1" applyBorder="1" applyAlignment="1">
      <alignment horizontal="center" vertical="center"/>
    </xf>
    <xf numFmtId="0" fontId="30" fillId="0" borderId="3" xfId="7" applyFont="1" applyBorder="1" applyAlignment="1">
      <alignment horizontal="center"/>
    </xf>
    <xf numFmtId="0" fontId="30" fillId="0" borderId="28" xfId="7" applyFont="1" applyBorder="1" applyAlignment="1">
      <alignment horizontal="center"/>
    </xf>
    <xf numFmtId="0" fontId="5" fillId="4" borderId="13" xfId="1" applyFont="1" applyFill="1" applyBorder="1" applyAlignment="1">
      <alignment textRotation="90"/>
    </xf>
    <xf numFmtId="0" fontId="5" fillId="0" borderId="17" xfId="0" applyFont="1" applyBorder="1" applyAlignment="1"/>
    <xf numFmtId="2" fontId="5" fillId="0" borderId="16" xfId="0" applyNumberFormat="1" applyFont="1" applyFill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</cellXfs>
  <cellStyles count="22">
    <cellStyle name="Normal" xfId="0" builtinId="0"/>
    <cellStyle name="Normal 2" xfId="5"/>
    <cellStyle name="Normal 3" xfId="8"/>
    <cellStyle name="Normal 3 2" xfId="7"/>
    <cellStyle name="Normal 3 3" xfId="14"/>
    <cellStyle name="Normal 3 4" xfId="11"/>
    <cellStyle name="Normal_ORÇAMENTO" xfId="1"/>
    <cellStyle name="Normal_ORÇAMENTO ALTERNATIVA 1 DER Junho2001" xfId="2"/>
    <cellStyle name="Porcentagem" xfId="4" builtinId="5"/>
    <cellStyle name="Porcentagem 2" xfId="6"/>
    <cellStyle name="Porcentagem 3 2" xfId="21"/>
    <cellStyle name="Vírgula" xfId="3" builtinId="3"/>
    <cellStyle name="Vírgula 2" xfId="9"/>
    <cellStyle name="Vírgula 2 2" xfId="15"/>
    <cellStyle name="Vírgula 2 2 2" xfId="20"/>
    <cellStyle name="Vírgula 2 3" xfId="12"/>
    <cellStyle name="Vírgula 2 3 2" xfId="18"/>
    <cellStyle name="Vírgula 2 4" xfId="16"/>
    <cellStyle name="Vírgula 3" xfId="13"/>
    <cellStyle name="Vírgula 3 2" xfId="19"/>
    <cellStyle name="Vírgula 4" xfId="10"/>
    <cellStyle name="Vírgula 4 2" xfId="17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167640</xdr:colOff>
      <xdr:row>1</xdr:row>
      <xdr:rowOff>106680</xdr:rowOff>
    </xdr:from>
    <xdr:to>
      <xdr:col>3</xdr:col>
      <xdr:colOff>655320</xdr:colOff>
      <xdr:row>1</xdr:row>
      <xdr:rowOff>106680</xdr:rowOff>
    </xdr:to>
    <xdr:cxnSp macro="">
      <xdr:nvCxnSpPr>
        <xdr:cNvPr id="3" name="Conector de Seta Reta 2">
          <a:extLst>
            <a:ext uri="{FF2B5EF4-FFF2-40B4-BE49-F238E27FC236}">
              <a16:creationId xmlns:a16="http://schemas.microsoft.com/office/drawing/2014/main" xmlns="" id="{F375D036-68B1-4583-B76A-15EA904B5F48}"/>
            </a:ext>
          </a:extLst>
        </xdr:cNvPr>
        <xdr:cNvCxnSpPr/>
      </xdr:nvCxnSpPr>
      <xdr:spPr bwMode="auto">
        <a:xfrm flipH="1">
          <a:off x="5135880" y="335280"/>
          <a:ext cx="48768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30480</xdr:colOff>
      <xdr:row>15</xdr:row>
      <xdr:rowOff>129540</xdr:rowOff>
    </xdr:from>
    <xdr:to>
      <xdr:col>3</xdr:col>
      <xdr:colOff>518160</xdr:colOff>
      <xdr:row>15</xdr:row>
      <xdr:rowOff>129540</xdr:rowOff>
    </xdr:to>
    <xdr:cxnSp macro="">
      <xdr:nvCxnSpPr>
        <xdr:cNvPr id="4" name="Conector de Seta Reta 3">
          <a:extLst>
            <a:ext uri="{FF2B5EF4-FFF2-40B4-BE49-F238E27FC236}">
              <a16:creationId xmlns:a16="http://schemas.microsoft.com/office/drawing/2014/main" xmlns="" id="{3949EE2F-1A27-4743-9805-F757ABBBBB65}"/>
            </a:ext>
          </a:extLst>
        </xdr:cNvPr>
        <xdr:cNvCxnSpPr/>
      </xdr:nvCxnSpPr>
      <xdr:spPr bwMode="auto">
        <a:xfrm flipH="1">
          <a:off x="5303520" y="3238500"/>
          <a:ext cx="48768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38100</xdr:colOff>
      <xdr:row>16</xdr:row>
      <xdr:rowOff>114300</xdr:rowOff>
    </xdr:from>
    <xdr:to>
      <xdr:col>3</xdr:col>
      <xdr:colOff>525780</xdr:colOff>
      <xdr:row>16</xdr:row>
      <xdr:rowOff>114300</xdr:rowOff>
    </xdr:to>
    <xdr:cxnSp macro="">
      <xdr:nvCxnSpPr>
        <xdr:cNvPr id="5" name="Conector de Seta Reta 4">
          <a:extLst>
            <a:ext uri="{FF2B5EF4-FFF2-40B4-BE49-F238E27FC236}">
              <a16:creationId xmlns:a16="http://schemas.microsoft.com/office/drawing/2014/main" xmlns="" id="{F952B470-6F28-4A9E-8F48-A66C20BC286E}"/>
            </a:ext>
          </a:extLst>
        </xdr:cNvPr>
        <xdr:cNvCxnSpPr/>
      </xdr:nvCxnSpPr>
      <xdr:spPr bwMode="auto">
        <a:xfrm flipH="1">
          <a:off x="5311140" y="3451860"/>
          <a:ext cx="48768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53340</xdr:colOff>
      <xdr:row>11</xdr:row>
      <xdr:rowOff>99060</xdr:rowOff>
    </xdr:from>
    <xdr:to>
      <xdr:col>4</xdr:col>
      <xdr:colOff>541020</xdr:colOff>
      <xdr:row>11</xdr:row>
      <xdr:rowOff>99060</xdr:rowOff>
    </xdr:to>
    <xdr:cxnSp macro="">
      <xdr:nvCxnSpPr>
        <xdr:cNvPr id="6" name="Conector de Seta Reta 5">
          <a:extLst>
            <a:ext uri="{FF2B5EF4-FFF2-40B4-BE49-F238E27FC236}">
              <a16:creationId xmlns:a16="http://schemas.microsoft.com/office/drawing/2014/main" xmlns="" id="{0334EE02-BCB5-4FED-BA48-E5FD1CCAD615}"/>
            </a:ext>
          </a:extLst>
        </xdr:cNvPr>
        <xdr:cNvCxnSpPr/>
      </xdr:nvCxnSpPr>
      <xdr:spPr bwMode="auto">
        <a:xfrm flipH="1">
          <a:off x="6111240" y="2575560"/>
          <a:ext cx="48768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4"/>
  <sheetViews>
    <sheetView showZeros="0" topLeftCell="A29" zoomScale="60" zoomScaleNormal="60" workbookViewId="0">
      <selection activeCell="J73" sqref="J73"/>
    </sheetView>
  </sheetViews>
  <sheetFormatPr defaultColWidth="12" defaultRowHeight="11.25"/>
  <cols>
    <col min="1" max="1" width="15.83203125" style="2" bestFit="1" customWidth="1"/>
    <col min="2" max="2" width="15.83203125" style="2" customWidth="1"/>
    <col min="3" max="3" width="59.6640625" style="2" customWidth="1"/>
    <col min="4" max="4" width="0.6640625" style="2" customWidth="1"/>
    <col min="5" max="5" width="11.1640625" style="2" customWidth="1"/>
    <col min="6" max="6" width="15.83203125" style="2" customWidth="1"/>
    <col min="7" max="7" width="12.6640625" style="2" customWidth="1"/>
    <col min="8" max="8" width="12.1640625" style="2" customWidth="1"/>
    <col min="9" max="9" width="12.83203125" style="2" bestFit="1" customWidth="1"/>
    <col min="10" max="10" width="16.1640625" style="2" bestFit="1" customWidth="1"/>
    <col min="11" max="11" width="8.1640625" style="2" customWidth="1"/>
    <col min="12" max="12" width="13.83203125" style="2" customWidth="1"/>
    <col min="13" max="13" width="13.5" style="2" customWidth="1"/>
    <col min="14" max="14" width="25.1640625" style="2" customWidth="1"/>
    <col min="15" max="15" width="21.5" style="2" customWidth="1"/>
    <col min="16" max="16" width="3.83203125" style="2" customWidth="1"/>
    <col min="17" max="17" width="18" style="2" customWidth="1"/>
    <col min="18" max="18" width="10.1640625" style="2" customWidth="1"/>
    <col min="19" max="19" width="25.1640625" style="2" customWidth="1"/>
    <col min="20" max="20" width="23.1640625" style="2" customWidth="1"/>
    <col min="21" max="21" width="0.83203125" style="2" customWidth="1"/>
    <col min="22" max="16384" width="12" style="2"/>
  </cols>
  <sheetData>
    <row r="1" spans="1:21" ht="17.100000000000001" customHeight="1" thickBot="1">
      <c r="A1" s="4"/>
      <c r="B1" s="4"/>
      <c r="C1" s="10"/>
      <c r="D1" s="10"/>
      <c r="E1" s="6"/>
      <c r="F1" s="8"/>
      <c r="G1" s="8"/>
      <c r="H1" s="6"/>
      <c r="I1" s="6"/>
      <c r="J1" s="6"/>
      <c r="K1" s="11"/>
      <c r="L1" s="6"/>
      <c r="M1" s="6"/>
      <c r="N1" s="6"/>
      <c r="O1" s="6"/>
      <c r="P1" s="6"/>
      <c r="Q1" s="6"/>
      <c r="R1" s="6"/>
      <c r="S1" s="6"/>
      <c r="T1" s="6"/>
      <c r="U1" s="8"/>
    </row>
    <row r="2" spans="1:21" ht="70.5" customHeight="1" thickBot="1">
      <c r="A2" s="12" t="s">
        <v>179</v>
      </c>
      <c r="B2" s="36"/>
      <c r="C2" s="13" t="s">
        <v>57</v>
      </c>
      <c r="D2" s="14"/>
      <c r="E2" s="15" t="s">
        <v>58</v>
      </c>
      <c r="F2" s="16" t="s">
        <v>59</v>
      </c>
      <c r="G2" s="16" t="s">
        <v>60</v>
      </c>
      <c r="H2" s="17" t="s">
        <v>61</v>
      </c>
      <c r="I2" s="18" t="s">
        <v>104</v>
      </c>
      <c r="J2" s="19" t="s">
        <v>62</v>
      </c>
      <c r="K2" s="20" t="s">
        <v>103</v>
      </c>
      <c r="L2" s="21" t="s">
        <v>63</v>
      </c>
      <c r="M2" s="12" t="s">
        <v>178</v>
      </c>
      <c r="N2" s="12" t="s">
        <v>64</v>
      </c>
      <c r="O2" s="22" t="s">
        <v>65</v>
      </c>
      <c r="P2" s="23" t="s">
        <v>66</v>
      </c>
      <c r="Q2" s="22" t="s">
        <v>67</v>
      </c>
      <c r="R2" s="22" t="s">
        <v>68</v>
      </c>
      <c r="S2" s="22" t="s">
        <v>69</v>
      </c>
      <c r="T2" s="22" t="s">
        <v>70</v>
      </c>
      <c r="U2" s="20" t="s">
        <v>71</v>
      </c>
    </row>
    <row r="3" spans="1:21" ht="16.5" thickBot="1">
      <c r="A3" s="4"/>
      <c r="B3" s="4"/>
      <c r="C3" s="3" t="s">
        <v>72</v>
      </c>
      <c r="D3" s="9"/>
      <c r="E3" s="1">
        <f t="shared" ref="E3:E10" si="0">O3*1.145</f>
        <v>1.1908000000000001</v>
      </c>
      <c r="F3" s="1">
        <f>A3*0.231+M3*0.189+O3*0.0414+P3*0.2+Q3*0.27+R3*0.33+S3*0.005*0.434</f>
        <v>9.9194400000000016E-2</v>
      </c>
      <c r="G3" s="1">
        <f>A3*0.6447+M3*0.672+O3*0.4158+P3*1.06+Q3*0.96+R3*0.921+S3*0.005*1.575</f>
        <v>0.64268200000000009</v>
      </c>
      <c r="H3" s="1">
        <f t="shared" ref="H3:H66" si="1">A3*(0.777+0.45)+M3*(0.777+0.45)+P3*1.11+Q3*1.11+R3*1.11</f>
        <v>0.20424000000000003</v>
      </c>
      <c r="I3" s="5"/>
      <c r="J3" s="24">
        <f>A3*(22.38+11.73+227.47)+M3*(108.59+91.1+0)+N3*(54.83+15.33)+O3*(273.33)+P3*(163.14+131.23)+Q3*(163.14+161.83)+R3*(163.14+183.12)+S3*(145.44+169.54)*0.005+T3*(6.93+3.57)+U3*(131.67+62.31)+K3*338+I3*176.04</f>
        <v>737.50622799999996</v>
      </c>
      <c r="K3" s="5"/>
      <c r="L3" s="1">
        <f t="shared" ref="L3:L82" si="2">O3*0.0414</f>
        <v>4.3056000000000004E-2</v>
      </c>
      <c r="M3" s="6"/>
      <c r="N3" s="7">
        <f>ROUND(1.5*1.25/4,2)</f>
        <v>0.47</v>
      </c>
      <c r="O3" s="7">
        <f>ROUND(O4/1.5*1.2,2)</f>
        <v>1.04</v>
      </c>
      <c r="P3" s="7">
        <v>9.4E-2</v>
      </c>
      <c r="Q3" s="8"/>
      <c r="R3" s="7">
        <v>0.09</v>
      </c>
      <c r="S3" s="7">
        <f>ROUND(S4/1.5*1.2,2)</f>
        <v>3.52</v>
      </c>
      <c r="T3" s="7">
        <v>15.42</v>
      </c>
      <c r="U3" s="8">
        <v>1</v>
      </c>
    </row>
    <row r="4" spans="1:21" ht="16.5" thickBot="1">
      <c r="A4" s="4"/>
      <c r="B4" s="4"/>
      <c r="C4" s="3" t="s">
        <v>73</v>
      </c>
      <c r="D4" s="9"/>
      <c r="E4" s="1">
        <f>O4*1.145</f>
        <v>1.4885000000000002</v>
      </c>
      <c r="F4" s="1">
        <f t="shared" ref="F4:F67" si="3">A4*0.231+M4*0.189+O4*0.0414+P4*0.2+Q4*0.27+R4*0.33+S4*0.005*0.434</f>
        <v>0.11186800000000001</v>
      </c>
      <c r="G4" s="1">
        <f t="shared" ref="G4:G67" si="4">A4*0.6447+M4*0.672+O4*0.4158+P4*1.06+Q4*0.96+R4*0.921+S4*0.005*1.575</f>
        <v>0.75771999999999995</v>
      </c>
      <c r="H4" s="1">
        <f t="shared" si="1"/>
        <v>0.20424000000000003</v>
      </c>
      <c r="I4" s="5"/>
      <c r="J4" s="24">
        <f t="shared" ref="J4:J67" si="5">A4*(22.38+11.73+227.47)+M4*(108.59+91.1+0)+N4*(54.83+15.33)+O4*(273.33)+P4*(163.14+131.23)+Q4*(163.14+161.83)+R4*(163.14+183.12)+S4*(145.44+169.54)*0.005+T4*(6.93+3.57)+U4*(131.67+62.31)+K4*338+I4*176.04</f>
        <v>809.95794000000001</v>
      </c>
      <c r="K4" s="5"/>
      <c r="L4" s="1">
        <f t="shared" si="2"/>
        <v>5.382E-2</v>
      </c>
      <c r="M4" s="6"/>
      <c r="N4" s="7">
        <f>ROUND(1.5*1.25/4,2)</f>
        <v>0.47</v>
      </c>
      <c r="O4" s="25">
        <f>ROUND(0.89*2*0.25*(1.5+0.75)*1.3,2)</f>
        <v>1.3</v>
      </c>
      <c r="P4" s="7">
        <v>9.4E-2</v>
      </c>
      <c r="Q4" s="8"/>
      <c r="R4" s="7">
        <v>0.09</v>
      </c>
      <c r="S4" s="25">
        <v>4.4000000000000004</v>
      </c>
      <c r="T4" s="7">
        <v>15.42</v>
      </c>
      <c r="U4" s="8">
        <v>1</v>
      </c>
    </row>
    <row r="5" spans="1:21" ht="16.5" thickBot="1">
      <c r="A5" s="4"/>
      <c r="B5" s="4"/>
      <c r="C5" s="3" t="s">
        <v>74</v>
      </c>
      <c r="D5" s="9"/>
      <c r="E5" s="1">
        <f>O5*1.145</f>
        <v>1.98085</v>
      </c>
      <c r="F5" s="1">
        <f>A5*0.231+M5*0.189+O5*0.0414+P5*0.2+Q5*0.27+R5*0.33+S5*0.005*0.434</f>
        <v>0.1328599</v>
      </c>
      <c r="G5" s="1">
        <f>A5*0.6447+M5*0.672+O5*0.4158+P5*1.06+Q5*0.96+R5*0.921+S5*0.005*1.575</f>
        <v>0.94809025000000013</v>
      </c>
      <c r="H5" s="1">
        <f t="shared" si="1"/>
        <v>0.20424000000000003</v>
      </c>
      <c r="I5" s="5"/>
      <c r="J5" s="24">
        <f t="shared" si="5"/>
        <v>929.80494299999987</v>
      </c>
      <c r="K5" s="5"/>
      <c r="L5" s="1">
        <f t="shared" si="2"/>
        <v>7.1621999999999991E-2</v>
      </c>
      <c r="M5" s="6"/>
      <c r="N5" s="7">
        <f>ROUND(1.5*1.25/4,2)</f>
        <v>0.47</v>
      </c>
      <c r="O5" s="7">
        <f>ROUND(O4/1.5*2,2)</f>
        <v>1.73</v>
      </c>
      <c r="P5" s="7">
        <v>9.4E-2</v>
      </c>
      <c r="Q5" s="8"/>
      <c r="R5" s="7">
        <v>0.09</v>
      </c>
      <c r="S5" s="7">
        <f>ROUND(S4/1.5*2,2)</f>
        <v>5.87</v>
      </c>
      <c r="T5" s="7">
        <v>15.42</v>
      </c>
      <c r="U5" s="8">
        <v>1</v>
      </c>
    </row>
    <row r="6" spans="1:21" ht="16.5" thickBot="1">
      <c r="A6" s="4"/>
      <c r="B6" s="4"/>
      <c r="C6" s="3" t="s">
        <v>75</v>
      </c>
      <c r="D6" s="9"/>
      <c r="E6" s="1">
        <f>O6*1.145</f>
        <v>2.4846499999999998</v>
      </c>
      <c r="F6" s="1">
        <f t="shared" si="3"/>
        <v>0.1542441</v>
      </c>
      <c r="G6" s="1">
        <f t="shared" si="4"/>
        <v>1.1425397499999999</v>
      </c>
      <c r="H6" s="1">
        <f t="shared" si="1"/>
        <v>0.20424000000000003</v>
      </c>
      <c r="I6" s="5"/>
      <c r="J6" s="24">
        <f t="shared" si="5"/>
        <v>1052.3694969999999</v>
      </c>
      <c r="K6" s="5"/>
      <c r="L6" s="1">
        <f t="shared" si="2"/>
        <v>8.9838000000000001E-2</v>
      </c>
      <c r="M6" s="6"/>
      <c r="N6" s="7">
        <f>ROUND(1.5*1.25/4,2)</f>
        <v>0.47</v>
      </c>
      <c r="O6" s="7">
        <f>ROUND(O4/1.5*2.5,2)</f>
        <v>2.17</v>
      </c>
      <c r="P6" s="7">
        <v>9.4E-2</v>
      </c>
      <c r="Q6" s="8"/>
      <c r="R6" s="7">
        <v>0.09</v>
      </c>
      <c r="S6" s="7">
        <f>ROUND(S4/1.5*2.5,2)</f>
        <v>7.33</v>
      </c>
      <c r="T6" s="7">
        <v>15.42</v>
      </c>
      <c r="U6" s="8">
        <v>1</v>
      </c>
    </row>
    <row r="7" spans="1:21" ht="16.5" thickBot="1">
      <c r="A7" s="4"/>
      <c r="B7" s="4"/>
      <c r="C7" s="3" t="s">
        <v>513</v>
      </c>
      <c r="D7" s="9"/>
      <c r="E7" s="1">
        <f t="shared" si="0"/>
        <v>0</v>
      </c>
      <c r="F7" s="1">
        <f>A7*0.231+M7*0.189+O7*0.0414+P7*0.2+Q7*0.27+R7*0.33+S7*0.005*0.434</f>
        <v>0.43490000000000006</v>
      </c>
      <c r="G7" s="1">
        <f>A7*0.6447+M7*0.672+O7*0.4158+P7*1.06+Q7*0.96+R7*0.921+S7*0.005*1.575</f>
        <v>1.26997</v>
      </c>
      <c r="H7" s="1">
        <f>A7*(0.777+0.45)+M7*(0.777+0.45)+P7*1.11+Q7*1.11+R7*1.11</f>
        <v>1.5118200000000002</v>
      </c>
      <c r="I7" s="5"/>
      <c r="J7" s="24">
        <f t="shared" si="5"/>
        <v>750.63164000000006</v>
      </c>
      <c r="K7" s="5"/>
      <c r="L7" s="1">
        <f>O7*0.0414</f>
        <v>0</v>
      </c>
      <c r="M7" s="6"/>
      <c r="N7" s="7">
        <f>N11/2</f>
        <v>1.2949999999999999</v>
      </c>
      <c r="O7" s="7"/>
      <c r="P7" s="7">
        <v>0.112</v>
      </c>
      <c r="Q7" s="8"/>
      <c r="R7" s="7">
        <f>ROUND(1.58/1.45*1.15,2)</f>
        <v>1.25</v>
      </c>
      <c r="S7" s="7"/>
      <c r="T7" s="7"/>
      <c r="U7" s="8">
        <v>1</v>
      </c>
    </row>
    <row r="8" spans="1:21" ht="16.5" thickBot="1">
      <c r="A8" s="4"/>
      <c r="B8" s="4"/>
      <c r="C8" s="3" t="s">
        <v>514</v>
      </c>
      <c r="D8" s="9"/>
      <c r="E8" s="1">
        <f t="shared" si="0"/>
        <v>0</v>
      </c>
      <c r="F8" s="1">
        <f>A8*0.231+M8*0.189+O8*0.0414+P8*0.2+Q8*0.27+R8*0.33+S8*0.005*0.434</f>
        <v>0.54380000000000006</v>
      </c>
      <c r="G8" s="1">
        <f>A8*0.6447+M8*0.672+O8*0.4158+P8*1.06+Q8*0.96+R8*0.921+S8*0.005*1.575</f>
        <v>1.5739000000000001</v>
      </c>
      <c r="H8" s="1">
        <f>A8*(0.777+0.45)+M8*(0.777+0.45)+P8*1.11+Q8*1.11+R8*1.11</f>
        <v>1.8781200000000002</v>
      </c>
      <c r="I8" s="5"/>
      <c r="J8" s="24">
        <f t="shared" si="5"/>
        <v>888.75184000000013</v>
      </c>
      <c r="K8" s="5"/>
      <c r="L8" s="1">
        <f>O8*0.0414</f>
        <v>0</v>
      </c>
      <c r="M8" s="6"/>
      <c r="N8" s="7">
        <f>N12/2</f>
        <v>1.635</v>
      </c>
      <c r="O8" s="7"/>
      <c r="P8" s="7">
        <v>0.112</v>
      </c>
      <c r="Q8" s="8"/>
      <c r="R8" s="7">
        <v>1.58</v>
      </c>
      <c r="S8" s="7"/>
      <c r="T8" s="7"/>
      <c r="U8" s="8">
        <v>1</v>
      </c>
    </row>
    <row r="9" spans="1:21" ht="16.5" thickBot="1">
      <c r="A9" s="4"/>
      <c r="B9" s="4"/>
      <c r="C9" s="3" t="s">
        <v>515</v>
      </c>
      <c r="D9" s="9"/>
      <c r="E9" s="1">
        <f t="shared" si="0"/>
        <v>0</v>
      </c>
      <c r="F9" s="1">
        <f>A9*0.231+M9*0.189+O9*0.0414+P9*0.2+Q9*0.27+R9*0.33+S9*0.005*0.434</f>
        <v>0.72200000000000009</v>
      </c>
      <c r="G9" s="1">
        <f>A9*0.6447+M9*0.672+O9*0.4158+P9*1.06+Q9*0.96+R9*0.921+S9*0.005*1.575</f>
        <v>2.0712400000000004</v>
      </c>
      <c r="H9" s="1">
        <f>A9*(0.777+0.45)+M9*(0.777+0.45)+P9*1.11+Q9*1.11+R9*1.11</f>
        <v>2.4775200000000002</v>
      </c>
      <c r="I9" s="5"/>
      <c r="J9" s="24">
        <f t="shared" si="5"/>
        <v>1115.37264</v>
      </c>
      <c r="K9" s="5"/>
      <c r="L9" s="1">
        <f>O9*0.0414</f>
        <v>0</v>
      </c>
      <c r="M9" s="6"/>
      <c r="N9" s="7">
        <f>N13/2</f>
        <v>2.2000000000000002</v>
      </c>
      <c r="O9" s="7"/>
      <c r="P9" s="7">
        <v>0.112</v>
      </c>
      <c r="Q9" s="8"/>
      <c r="R9" s="7">
        <f>ROUND(1.58/1.45*1.95,2)</f>
        <v>2.12</v>
      </c>
      <c r="S9" s="7"/>
      <c r="T9" s="7"/>
      <c r="U9" s="8">
        <v>1</v>
      </c>
    </row>
    <row r="10" spans="1:21" ht="16.5" thickBot="1">
      <c r="A10" s="4"/>
      <c r="B10" s="4"/>
      <c r="C10" s="3" t="s">
        <v>516</v>
      </c>
      <c r="D10" s="9"/>
      <c r="E10" s="1">
        <f t="shared" si="0"/>
        <v>0</v>
      </c>
      <c r="F10" s="1">
        <f>A10*0.231+M10*0.189+O10*0.0414+P10*0.2+Q10*0.27+R10*0.33+S10*0.005*0.434</f>
        <v>0.90349999999999997</v>
      </c>
      <c r="G10" s="1">
        <f>A10*0.6447+M10*0.672+O10*0.4158+P10*1.06+Q10*0.96+R10*0.921+S10*0.005*1.575</f>
        <v>2.5777900000000002</v>
      </c>
      <c r="H10" s="1">
        <f>A10*(0.777+0.45)+M10*(0.777+0.45)+P10*1.11+Q10*1.11+R10*1.11</f>
        <v>3.0880200000000002</v>
      </c>
      <c r="I10" s="5"/>
      <c r="J10" s="24">
        <f t="shared" si="5"/>
        <v>1345.45604</v>
      </c>
      <c r="K10" s="5"/>
      <c r="L10" s="1">
        <f>O10*0.0414</f>
        <v>0</v>
      </c>
      <c r="M10" s="6"/>
      <c r="N10" s="7">
        <f>N14/2</f>
        <v>2.7650000000000001</v>
      </c>
      <c r="O10" s="7"/>
      <c r="P10" s="7">
        <v>0.112</v>
      </c>
      <c r="Q10" s="8"/>
      <c r="R10" s="7">
        <f>ROUND(1.58/1.45*2.45,2)</f>
        <v>2.67</v>
      </c>
      <c r="S10" s="7"/>
      <c r="T10" s="7"/>
      <c r="U10" s="8">
        <v>1</v>
      </c>
    </row>
    <row r="11" spans="1:21" ht="16.5" thickBot="1">
      <c r="A11" s="4"/>
      <c r="B11" s="4"/>
      <c r="C11" s="3" t="s">
        <v>117</v>
      </c>
      <c r="D11" s="9"/>
      <c r="E11" s="1">
        <f t="shared" ref="E11:E30" si="6">O11*1.145</f>
        <v>0</v>
      </c>
      <c r="F11" s="1">
        <f t="shared" si="3"/>
        <v>0.20590000000000003</v>
      </c>
      <c r="G11" s="1">
        <f t="shared" si="4"/>
        <v>0.60275000000000001</v>
      </c>
      <c r="H11" s="1">
        <f t="shared" si="1"/>
        <v>0.71706000000000003</v>
      </c>
      <c r="I11" s="5"/>
      <c r="J11" s="24">
        <f t="shared" si="5"/>
        <v>1137.22252</v>
      </c>
      <c r="K11" s="5"/>
      <c r="L11" s="1">
        <f t="shared" si="2"/>
        <v>0</v>
      </c>
      <c r="M11" s="6"/>
      <c r="N11" s="7">
        <f>ROUND(N12/1.45*1.15,2)</f>
        <v>2.59</v>
      </c>
      <c r="O11" s="7"/>
      <c r="P11" s="7">
        <f>0.112/2</f>
        <v>5.6000000000000001E-2</v>
      </c>
      <c r="Q11" s="8"/>
      <c r="R11" s="7">
        <f>ROUND(R12/1.45*1.15,2)</f>
        <v>0.59</v>
      </c>
      <c r="S11" s="7"/>
      <c r="T11" s="7">
        <f>ROUND(T12/1.45*1.15,2)</f>
        <v>51.5</v>
      </c>
      <c r="U11" s="8">
        <v>1</v>
      </c>
    </row>
    <row r="12" spans="1:21" ht="16.5" thickBot="1">
      <c r="A12" s="4"/>
      <c r="B12" s="4"/>
      <c r="C12" s="3" t="s">
        <v>114</v>
      </c>
      <c r="D12" s="9"/>
      <c r="E12" s="1">
        <f t="shared" si="6"/>
        <v>0</v>
      </c>
      <c r="F12" s="1">
        <f t="shared" si="3"/>
        <v>0.25869999999999999</v>
      </c>
      <c r="G12" s="1">
        <f t="shared" si="4"/>
        <v>0.75010999999999994</v>
      </c>
      <c r="H12" s="1">
        <f t="shared" si="1"/>
        <v>0.89466000000000001</v>
      </c>
      <c r="I12" s="5"/>
      <c r="J12" s="24">
        <f t="shared" si="5"/>
        <v>1381.4529199999999</v>
      </c>
      <c r="K12" s="5"/>
      <c r="L12" s="1">
        <f t="shared" si="2"/>
        <v>0</v>
      </c>
      <c r="M12" s="6"/>
      <c r="N12" s="25">
        <f>ROUND(9.8/3,2)</f>
        <v>3.27</v>
      </c>
      <c r="O12" s="7"/>
      <c r="P12" s="7">
        <f>0.112/2</f>
        <v>5.6000000000000001E-2</v>
      </c>
      <c r="Q12" s="8"/>
      <c r="R12" s="25">
        <v>0.75</v>
      </c>
      <c r="S12" s="7"/>
      <c r="T12" s="25">
        <v>64.94</v>
      </c>
      <c r="U12" s="8">
        <v>1</v>
      </c>
    </row>
    <row r="13" spans="1:21" ht="16.5" thickBot="1">
      <c r="A13" s="4"/>
      <c r="B13" s="4"/>
      <c r="C13" s="3" t="s">
        <v>115</v>
      </c>
      <c r="D13" s="9"/>
      <c r="E13" s="1">
        <f t="shared" si="6"/>
        <v>0</v>
      </c>
      <c r="F13" s="1">
        <f t="shared" si="3"/>
        <v>0.34450000000000003</v>
      </c>
      <c r="G13" s="1">
        <f t="shared" si="4"/>
        <v>0.98957000000000006</v>
      </c>
      <c r="H13" s="1">
        <f t="shared" si="1"/>
        <v>1.1832600000000002</v>
      </c>
      <c r="I13" s="5"/>
      <c r="J13" s="24">
        <f t="shared" si="5"/>
        <v>1550.7613200000001</v>
      </c>
      <c r="K13" s="5"/>
      <c r="L13" s="1">
        <f t="shared" si="2"/>
        <v>0</v>
      </c>
      <c r="M13" s="6"/>
      <c r="N13" s="7">
        <f>ROUND(N12/1.45*1.95,2)</f>
        <v>4.4000000000000004</v>
      </c>
      <c r="O13" s="7"/>
      <c r="P13" s="7">
        <f>0.112/2</f>
        <v>5.6000000000000001E-2</v>
      </c>
      <c r="Q13" s="8"/>
      <c r="R13" s="7">
        <f>ROUND(R12/1.45*1.95,2)</f>
        <v>1.01</v>
      </c>
      <c r="S13" s="7"/>
      <c r="T13" s="7">
        <f>ROUND(T12/1.95*1.95,2)</f>
        <v>64.94</v>
      </c>
      <c r="U13" s="8">
        <v>1</v>
      </c>
    </row>
    <row r="14" spans="1:21" ht="16.5" thickBot="1">
      <c r="A14" s="4"/>
      <c r="B14" s="4"/>
      <c r="C14" s="3" t="s">
        <v>116</v>
      </c>
      <c r="D14" s="9"/>
      <c r="E14" s="1">
        <f t="shared" si="6"/>
        <v>0</v>
      </c>
      <c r="F14" s="1">
        <f t="shared" si="3"/>
        <v>0.43030000000000002</v>
      </c>
      <c r="G14" s="1">
        <f t="shared" si="4"/>
        <v>1.2290300000000001</v>
      </c>
      <c r="H14" s="1">
        <f t="shared" si="1"/>
        <v>1.4718600000000002</v>
      </c>
      <c r="I14" s="5"/>
      <c r="J14" s="24">
        <f t="shared" si="5"/>
        <v>1894.8947200000002</v>
      </c>
      <c r="K14" s="5"/>
      <c r="L14" s="1">
        <f t="shared" si="2"/>
        <v>0</v>
      </c>
      <c r="M14" s="6"/>
      <c r="N14" s="7">
        <f>ROUND(N12/1.45*2.45,2)</f>
        <v>5.53</v>
      </c>
      <c r="O14" s="7"/>
      <c r="P14" s="7">
        <f>0.112/2</f>
        <v>5.6000000000000001E-2</v>
      </c>
      <c r="Q14" s="8"/>
      <c r="R14" s="7">
        <f>ROUND(R12/1.45*2.45,2)</f>
        <v>1.27</v>
      </c>
      <c r="S14" s="7"/>
      <c r="T14" s="7">
        <f>ROUND(T12/1.95*2.45,2)</f>
        <v>81.59</v>
      </c>
      <c r="U14" s="8">
        <v>1</v>
      </c>
    </row>
    <row r="15" spans="1:21" ht="16.5" thickBot="1">
      <c r="A15" s="4"/>
      <c r="B15" s="4"/>
      <c r="C15" s="3" t="s">
        <v>110</v>
      </c>
      <c r="D15" s="9"/>
      <c r="E15" s="1">
        <f t="shared" si="6"/>
        <v>2.2625199999999999</v>
      </c>
      <c r="F15" s="1">
        <f t="shared" si="3"/>
        <v>0.17395640000000001</v>
      </c>
      <c r="G15" s="1">
        <f t="shared" si="4"/>
        <v>1.1684278000000001</v>
      </c>
      <c r="H15" s="1">
        <f t="shared" si="1"/>
        <v>0.38805600000000001</v>
      </c>
      <c r="I15" s="5"/>
      <c r="J15" s="24">
        <f t="shared" si="5"/>
        <v>1410.126902</v>
      </c>
      <c r="K15" s="5"/>
      <c r="L15" s="1">
        <f t="shared" si="2"/>
        <v>8.1806400000000001E-2</v>
      </c>
      <c r="M15" s="6"/>
      <c r="N15" s="7">
        <f>N3*1.9</f>
        <v>0.8929999999999999</v>
      </c>
      <c r="O15" s="7">
        <f>O3*1.9</f>
        <v>1.976</v>
      </c>
      <c r="P15" s="7">
        <f>P3*1.9</f>
        <v>0.17859999999999998</v>
      </c>
      <c r="Q15" s="8"/>
      <c r="R15" s="7">
        <f>R3*1.9</f>
        <v>0.17099999999999999</v>
      </c>
      <c r="S15" s="7"/>
      <c r="T15" s="7">
        <f>T3*1.9</f>
        <v>29.297999999999998</v>
      </c>
      <c r="U15" s="8">
        <v>2</v>
      </c>
    </row>
    <row r="16" spans="1:21" ht="16.5" thickBot="1">
      <c r="A16" s="4"/>
      <c r="B16" s="4"/>
      <c r="C16" s="3" t="s">
        <v>111</v>
      </c>
      <c r="D16" s="9"/>
      <c r="E16" s="1">
        <f t="shared" si="6"/>
        <v>2.8281499999999999</v>
      </c>
      <c r="F16" s="1">
        <f t="shared" si="3"/>
        <v>0.194408</v>
      </c>
      <c r="G16" s="1">
        <f t="shared" si="4"/>
        <v>1.3738330000000001</v>
      </c>
      <c r="H16" s="1">
        <f t="shared" si="1"/>
        <v>0.38805600000000001</v>
      </c>
      <c r="I16" s="5"/>
      <c r="J16" s="24">
        <f t="shared" si="5"/>
        <v>1545.1519219999998</v>
      </c>
      <c r="K16" s="5"/>
      <c r="L16" s="1">
        <f t="shared" si="2"/>
        <v>0.10225799999999999</v>
      </c>
      <c r="M16" s="6"/>
      <c r="N16" s="7">
        <f t="shared" ref="N16:P18" si="7">N4*1.9</f>
        <v>0.8929999999999999</v>
      </c>
      <c r="O16" s="7">
        <f t="shared" si="7"/>
        <v>2.4699999999999998</v>
      </c>
      <c r="P16" s="7">
        <f t="shared" si="7"/>
        <v>0.17859999999999998</v>
      </c>
      <c r="Q16" s="8"/>
      <c r="R16" s="7">
        <f>R4*1.9</f>
        <v>0.17099999999999999</v>
      </c>
      <c r="S16" s="7"/>
      <c r="T16" s="7">
        <f>T4*1.9</f>
        <v>29.297999999999998</v>
      </c>
      <c r="U16" s="8">
        <v>2</v>
      </c>
    </row>
    <row r="17" spans="1:21" ht="16.5" thickBot="1">
      <c r="A17" s="4"/>
      <c r="B17" s="4"/>
      <c r="C17" s="3" t="s">
        <v>112</v>
      </c>
      <c r="D17" s="9"/>
      <c r="E17" s="1">
        <f t="shared" ref="E17:E22" si="8">O17*1.145</f>
        <v>3.7636150000000002</v>
      </c>
      <c r="F17" s="1">
        <f t="shared" ref="F17:F22" si="9">A17*0.231+M17*0.189+O17*0.0414+P17*0.2+Q17*0.27+R17*0.33+S17*0.005*0.434</f>
        <v>0.22823180000000001</v>
      </c>
      <c r="G17" s="1">
        <f t="shared" ref="G17:G22" si="10">A17*0.6447+M17*0.672+O17*0.4158+P17*1.06+Q17*0.96+R17*0.921+S17*0.005*1.575</f>
        <v>1.7135416000000001</v>
      </c>
      <c r="H17" s="1">
        <f t="shared" ref="H17:H22" si="11">A17*(0.777+0.45)+M17*(0.777+0.45)+P17*1.11+Q17*1.11+R17*1.11</f>
        <v>0.38805600000000001</v>
      </c>
      <c r="I17" s="5"/>
      <c r="J17" s="24">
        <f t="shared" si="5"/>
        <v>1768.4625319999998</v>
      </c>
      <c r="K17" s="5"/>
      <c r="L17" s="1">
        <f t="shared" ref="L17:L22" si="12">O17*0.0414</f>
        <v>0.1360818</v>
      </c>
      <c r="M17" s="6"/>
      <c r="N17" s="7">
        <f t="shared" si="7"/>
        <v>0.8929999999999999</v>
      </c>
      <c r="O17" s="7">
        <f t="shared" si="7"/>
        <v>3.2869999999999999</v>
      </c>
      <c r="P17" s="7">
        <f t="shared" si="7"/>
        <v>0.17859999999999998</v>
      </c>
      <c r="Q17" s="8"/>
      <c r="R17" s="7">
        <f>R5*1.9</f>
        <v>0.17099999999999999</v>
      </c>
      <c r="S17" s="7"/>
      <c r="T17" s="7">
        <f>T5*1.9</f>
        <v>29.297999999999998</v>
      </c>
      <c r="U17" s="8">
        <v>2</v>
      </c>
    </row>
    <row r="18" spans="1:21" ht="16.5" thickBot="1">
      <c r="A18" s="4"/>
      <c r="B18" s="4"/>
      <c r="C18" s="3" t="s">
        <v>113</v>
      </c>
      <c r="D18" s="9"/>
      <c r="E18" s="1">
        <f t="shared" si="8"/>
        <v>4.7208349999999992</v>
      </c>
      <c r="F18" s="1">
        <f t="shared" si="9"/>
        <v>0.26284219999999997</v>
      </c>
      <c r="G18" s="1">
        <f t="shared" si="10"/>
        <v>2.0611503999999998</v>
      </c>
      <c r="H18" s="1">
        <f t="shared" si="11"/>
        <v>0.38805600000000001</v>
      </c>
      <c r="I18" s="5"/>
      <c r="J18" s="24">
        <f t="shared" si="5"/>
        <v>1996.9664119999998</v>
      </c>
      <c r="K18" s="5"/>
      <c r="L18" s="1">
        <f t="shared" si="12"/>
        <v>0.17069219999999996</v>
      </c>
      <c r="M18" s="6"/>
      <c r="N18" s="7">
        <f t="shared" si="7"/>
        <v>0.8929999999999999</v>
      </c>
      <c r="O18" s="7">
        <f t="shared" si="7"/>
        <v>4.1229999999999993</v>
      </c>
      <c r="P18" s="7">
        <f t="shared" si="7"/>
        <v>0.17859999999999998</v>
      </c>
      <c r="Q18" s="8"/>
      <c r="R18" s="7">
        <f>R6*1.9</f>
        <v>0.17099999999999999</v>
      </c>
      <c r="S18" s="7"/>
      <c r="T18" s="7">
        <f>T6*1.9</f>
        <v>29.297999999999998</v>
      </c>
      <c r="U18" s="8">
        <v>2</v>
      </c>
    </row>
    <row r="19" spans="1:21" ht="16.5" thickBot="1">
      <c r="A19" s="4"/>
      <c r="B19" s="4"/>
      <c r="C19" s="3" t="s">
        <v>517</v>
      </c>
      <c r="D19" s="9"/>
      <c r="E19" s="1">
        <f t="shared" si="8"/>
        <v>0</v>
      </c>
      <c r="F19" s="1">
        <f t="shared" si="9"/>
        <v>0.8263100000000001</v>
      </c>
      <c r="G19" s="1">
        <f t="shared" si="10"/>
        <v>2.4129430000000003</v>
      </c>
      <c r="H19" s="1">
        <f t="shared" si="11"/>
        <v>2.8724580000000004</v>
      </c>
      <c r="I19" s="5"/>
      <c r="J19" s="24">
        <f t="shared" si="5"/>
        <v>1445.5981159999999</v>
      </c>
      <c r="K19" s="5"/>
      <c r="L19" s="1">
        <f t="shared" si="12"/>
        <v>0</v>
      </c>
      <c r="M19" s="6"/>
      <c r="N19" s="7">
        <f>1.9*N7</f>
        <v>2.4604999999999997</v>
      </c>
      <c r="O19" s="7"/>
      <c r="P19" s="7">
        <f t="shared" ref="P19:P26" si="13">1.9*P7</f>
        <v>0.21279999999999999</v>
      </c>
      <c r="Q19" s="8"/>
      <c r="R19" s="7">
        <f t="shared" ref="R19:R26" si="14">1.9*R7</f>
        <v>2.375</v>
      </c>
      <c r="S19" s="7"/>
      <c r="T19" s="7"/>
      <c r="U19" s="8">
        <v>2</v>
      </c>
    </row>
    <row r="20" spans="1:21" ht="16.5" thickBot="1">
      <c r="A20" s="4"/>
      <c r="B20" s="4"/>
      <c r="C20" s="3" t="s">
        <v>518</v>
      </c>
      <c r="D20" s="9"/>
      <c r="E20" s="1">
        <f t="shared" si="8"/>
        <v>0</v>
      </c>
      <c r="F20" s="1">
        <f t="shared" si="9"/>
        <v>1.03322</v>
      </c>
      <c r="G20" s="1">
        <f t="shared" si="10"/>
        <v>2.9904099999999998</v>
      </c>
      <c r="H20" s="1">
        <f t="shared" si="11"/>
        <v>3.5684279999999999</v>
      </c>
      <c r="I20" s="5"/>
      <c r="J20" s="24">
        <f t="shared" si="5"/>
        <v>1708.026496</v>
      </c>
      <c r="K20" s="5"/>
      <c r="L20" s="1">
        <f t="shared" si="12"/>
        <v>0</v>
      </c>
      <c r="M20" s="6"/>
      <c r="N20" s="7">
        <f t="shared" ref="N20:N26" si="15">1.9*N8</f>
        <v>3.1065</v>
      </c>
      <c r="O20" s="7"/>
      <c r="P20" s="7">
        <f t="shared" si="13"/>
        <v>0.21279999999999999</v>
      </c>
      <c r="Q20" s="8"/>
      <c r="R20" s="7">
        <f t="shared" si="14"/>
        <v>3.0019999999999998</v>
      </c>
      <c r="S20" s="7"/>
      <c r="T20" s="7"/>
      <c r="U20" s="8">
        <v>2</v>
      </c>
    </row>
    <row r="21" spans="1:21" ht="16.5" thickBot="1">
      <c r="A21" s="4"/>
      <c r="B21" s="4"/>
      <c r="C21" s="3" t="s">
        <v>519</v>
      </c>
      <c r="D21" s="9"/>
      <c r="E21" s="1">
        <f t="shared" si="8"/>
        <v>0</v>
      </c>
      <c r="F21" s="1">
        <f t="shared" si="9"/>
        <v>1.3717999999999999</v>
      </c>
      <c r="G21" s="1">
        <f t="shared" si="10"/>
        <v>3.9353559999999996</v>
      </c>
      <c r="H21" s="1">
        <f t="shared" si="11"/>
        <v>4.7072880000000001</v>
      </c>
      <c r="I21" s="5"/>
      <c r="J21" s="24">
        <f t="shared" si="5"/>
        <v>2138.6060159999997</v>
      </c>
      <c r="K21" s="5"/>
      <c r="L21" s="1">
        <f t="shared" si="12"/>
        <v>0</v>
      </c>
      <c r="M21" s="6"/>
      <c r="N21" s="7">
        <f t="shared" si="15"/>
        <v>4.18</v>
      </c>
      <c r="O21" s="7"/>
      <c r="P21" s="7">
        <f t="shared" si="13"/>
        <v>0.21279999999999999</v>
      </c>
      <c r="Q21" s="8"/>
      <c r="R21" s="7">
        <f t="shared" si="14"/>
        <v>4.0279999999999996</v>
      </c>
      <c r="S21" s="7"/>
      <c r="T21" s="7"/>
      <c r="U21" s="8">
        <v>2</v>
      </c>
    </row>
    <row r="22" spans="1:21" ht="16.5" thickBot="1">
      <c r="A22" s="4"/>
      <c r="B22" s="4"/>
      <c r="C22" s="3" t="s">
        <v>520</v>
      </c>
      <c r="D22" s="9"/>
      <c r="E22" s="1">
        <f t="shared" si="8"/>
        <v>0</v>
      </c>
      <c r="F22" s="1">
        <f t="shared" si="9"/>
        <v>1.7166499999999998</v>
      </c>
      <c r="G22" s="1">
        <f t="shared" si="10"/>
        <v>4.8978009999999994</v>
      </c>
      <c r="H22" s="1">
        <f t="shared" si="11"/>
        <v>5.8672380000000004</v>
      </c>
      <c r="I22" s="5"/>
      <c r="J22" s="24">
        <f t="shared" si="5"/>
        <v>2575.7644759999998</v>
      </c>
      <c r="K22" s="5"/>
      <c r="L22" s="1">
        <f t="shared" si="12"/>
        <v>0</v>
      </c>
      <c r="M22" s="6"/>
      <c r="N22" s="7">
        <f t="shared" si="15"/>
        <v>5.2534999999999998</v>
      </c>
      <c r="O22" s="7"/>
      <c r="P22" s="7">
        <f t="shared" si="13"/>
        <v>0.21279999999999999</v>
      </c>
      <c r="Q22" s="8"/>
      <c r="R22" s="7">
        <f t="shared" si="14"/>
        <v>5.0729999999999995</v>
      </c>
      <c r="S22" s="7"/>
      <c r="T22" s="7"/>
      <c r="U22" s="8">
        <v>2</v>
      </c>
    </row>
    <row r="23" spans="1:21" ht="16.5" thickBot="1">
      <c r="A23" s="4"/>
      <c r="B23" s="4"/>
      <c r="C23" s="3" t="s">
        <v>121</v>
      </c>
      <c r="D23" s="9"/>
      <c r="E23" s="1">
        <f t="shared" si="6"/>
        <v>0</v>
      </c>
      <c r="F23" s="1">
        <f t="shared" si="3"/>
        <v>0.39121000000000006</v>
      </c>
      <c r="G23" s="1">
        <f t="shared" si="4"/>
        <v>1.1452249999999999</v>
      </c>
      <c r="H23" s="1">
        <f t="shared" si="1"/>
        <v>1.362414</v>
      </c>
      <c r="I23" s="5"/>
      <c r="J23" s="24">
        <f t="shared" si="5"/>
        <v>2180.1207879999997</v>
      </c>
      <c r="K23" s="5"/>
      <c r="L23" s="1">
        <f t="shared" si="2"/>
        <v>0</v>
      </c>
      <c r="M23" s="6"/>
      <c r="N23" s="7">
        <f>1.9*N11</f>
        <v>4.9209999999999994</v>
      </c>
      <c r="O23" s="7"/>
      <c r="P23" s="7">
        <f t="shared" si="13"/>
        <v>0.10639999999999999</v>
      </c>
      <c r="Q23" s="8"/>
      <c r="R23" s="7">
        <f>1.9*R11</f>
        <v>1.121</v>
      </c>
      <c r="S23" s="7"/>
      <c r="T23" s="7">
        <f>1.9*T11</f>
        <v>97.85</v>
      </c>
      <c r="U23" s="8">
        <v>2</v>
      </c>
    </row>
    <row r="24" spans="1:21" ht="16.5" thickBot="1">
      <c r="A24" s="4"/>
      <c r="B24" s="4"/>
      <c r="C24" s="3" t="s">
        <v>118</v>
      </c>
      <c r="D24" s="9"/>
      <c r="E24" s="1">
        <f t="shared" si="6"/>
        <v>0</v>
      </c>
      <c r="F24" s="1">
        <f t="shared" si="3"/>
        <v>0.49152999999999997</v>
      </c>
      <c r="G24" s="1">
        <f t="shared" si="4"/>
        <v>1.4252089999999999</v>
      </c>
      <c r="H24" s="1">
        <f t="shared" si="1"/>
        <v>1.699854</v>
      </c>
      <c r="I24" s="5"/>
      <c r="J24" s="24">
        <f t="shared" si="5"/>
        <v>2644.1585479999999</v>
      </c>
      <c r="K24" s="5"/>
      <c r="L24" s="1">
        <f t="shared" si="2"/>
        <v>0</v>
      </c>
      <c r="M24" s="6"/>
      <c r="N24" s="7">
        <f t="shared" si="15"/>
        <v>6.2130000000000001</v>
      </c>
      <c r="O24" s="7"/>
      <c r="P24" s="7">
        <f t="shared" si="13"/>
        <v>0.10639999999999999</v>
      </c>
      <c r="Q24" s="8"/>
      <c r="R24" s="7">
        <f t="shared" si="14"/>
        <v>1.4249999999999998</v>
      </c>
      <c r="S24" s="7"/>
      <c r="T24" s="7">
        <f>1.9*T12</f>
        <v>123.386</v>
      </c>
      <c r="U24" s="8">
        <v>2</v>
      </c>
    </row>
    <row r="25" spans="1:21" ht="16.5" thickBot="1">
      <c r="A25" s="4"/>
      <c r="B25" s="4"/>
      <c r="C25" s="3" t="s">
        <v>119</v>
      </c>
      <c r="D25" s="9"/>
      <c r="E25" s="1">
        <f>O25*1.145</f>
        <v>0</v>
      </c>
      <c r="F25" s="1">
        <f>A25*0.231+M25*0.189+O25*0.0414+P25*0.2+Q25*0.27+R25*0.33+S25*0.005*0.434</f>
        <v>0.65454999999999997</v>
      </c>
      <c r="G25" s="1">
        <f>A25*0.6447+M25*0.672+O25*0.4158+P25*1.06+Q25*0.96+R25*0.921+S25*0.005*1.575</f>
        <v>1.8801829999999999</v>
      </c>
      <c r="H25" s="1">
        <f>A25*(0.777+0.45)+M25*(0.777+0.45)+P25*1.11+Q25*1.11+R25*1.11</f>
        <v>2.2481940000000002</v>
      </c>
      <c r="I25" s="5"/>
      <c r="J25" s="24">
        <f t="shared" si="5"/>
        <v>2965.8445079999997</v>
      </c>
      <c r="K25" s="5"/>
      <c r="L25" s="1">
        <f>O25*0.0414</f>
        <v>0</v>
      </c>
      <c r="M25" s="6"/>
      <c r="N25" s="7">
        <f t="shared" si="15"/>
        <v>8.36</v>
      </c>
      <c r="O25" s="7"/>
      <c r="P25" s="7">
        <f t="shared" si="13"/>
        <v>0.10639999999999999</v>
      </c>
      <c r="Q25" s="8"/>
      <c r="R25" s="7">
        <f t="shared" si="14"/>
        <v>1.9189999999999998</v>
      </c>
      <c r="S25" s="7"/>
      <c r="T25" s="7">
        <f>1.9*T13</f>
        <v>123.386</v>
      </c>
      <c r="U25" s="8">
        <v>2</v>
      </c>
    </row>
    <row r="26" spans="1:21" ht="16.5" thickBot="1">
      <c r="A26" s="4"/>
      <c r="B26" s="4"/>
      <c r="C26" s="3" t="s">
        <v>120</v>
      </c>
      <c r="D26" s="9"/>
      <c r="E26" s="1">
        <f>O26*1.145</f>
        <v>0</v>
      </c>
      <c r="F26" s="1">
        <f>A26*0.231+M26*0.189+O26*0.0414+P26*0.2+Q26*0.27+R26*0.33+S26*0.005*0.434</f>
        <v>0.81756999999999991</v>
      </c>
      <c r="G26" s="1">
        <f>A26*0.6447+M26*0.672+O26*0.4158+P26*1.06+Q26*0.96+R26*0.921+S26*0.005*1.575</f>
        <v>2.3351569999999997</v>
      </c>
      <c r="H26" s="1">
        <f>A26*(0.777+0.45)+M26*(0.777+0.45)+P26*1.11+Q26*1.11+R26*1.11</f>
        <v>2.7965340000000003</v>
      </c>
      <c r="I26" s="5"/>
      <c r="J26" s="24">
        <f t="shared" si="5"/>
        <v>3619.6979679999999</v>
      </c>
      <c r="K26" s="5"/>
      <c r="L26" s="1">
        <f>O26*0.0414</f>
        <v>0</v>
      </c>
      <c r="M26" s="6"/>
      <c r="N26" s="7">
        <f t="shared" si="15"/>
        <v>10.507</v>
      </c>
      <c r="O26" s="7"/>
      <c r="P26" s="7">
        <f t="shared" si="13"/>
        <v>0.10639999999999999</v>
      </c>
      <c r="Q26" s="8"/>
      <c r="R26" s="7">
        <f t="shared" si="14"/>
        <v>2.4129999999999998</v>
      </c>
      <c r="S26" s="7"/>
      <c r="T26" s="7">
        <f>1.9*T14</f>
        <v>155.02099999999999</v>
      </c>
      <c r="U26" s="8">
        <v>2</v>
      </c>
    </row>
    <row r="27" spans="1:21" ht="16.5" thickBot="1">
      <c r="A27" s="4"/>
      <c r="B27" s="4"/>
      <c r="C27" s="3" t="s">
        <v>108</v>
      </c>
      <c r="D27" s="9"/>
      <c r="E27" s="1">
        <f>O27*1.145</f>
        <v>0.23083199999999998</v>
      </c>
      <c r="F27" s="1">
        <f>A27*0.231+M27*0.189+O27*0.0414+P27*0.2+Q27*0.27+R27*0.33+S27*0.005*0.434</f>
        <v>9.7145984000000005E-2</v>
      </c>
      <c r="G27" s="1">
        <f>A27*0.6447+M27*0.672+O27*0.4158+P27*1.06+Q27*0.96+R27*0.921+S27*0.005*1.575</f>
        <v>0.36584033279999995</v>
      </c>
      <c r="H27" s="1">
        <f>A27*(0.777+0.45)+M27*(0.777+0.45)+P27*1.11+Q27*1.11+R27*1.11</f>
        <v>0.308576448</v>
      </c>
      <c r="I27" s="5"/>
      <c r="J27" s="24">
        <f t="shared" si="5"/>
        <v>265.79571244799996</v>
      </c>
      <c r="K27" s="5"/>
      <c r="L27" s="1">
        <f>O27*0.0414</f>
        <v>8.3462399999999996E-3</v>
      </c>
      <c r="M27" s="6"/>
      <c r="N27" s="7">
        <f>(0.88*0.88+4*0.09*0.09*0.8)/2.5</f>
        <v>0.32012799999999997</v>
      </c>
      <c r="O27" s="7">
        <f>2*(0.7+0.7)*0.8*0.09</f>
        <v>0.20159999999999997</v>
      </c>
      <c r="P27" s="7">
        <v>0.06</v>
      </c>
      <c r="Q27" s="8"/>
      <c r="R27" s="7">
        <f>3*N27*2*0.1+0.09*0.09*0.8*4</f>
        <v>0.21799679999999999</v>
      </c>
      <c r="S27" s="7">
        <f>4*(0.7+0.7)/2*0.8</f>
        <v>2.2399999999999998</v>
      </c>
      <c r="T27" s="7">
        <f>40*R27</f>
        <v>8.7198719999999987</v>
      </c>
      <c r="U27" s="8"/>
    </row>
    <row r="28" spans="1:21" ht="16.5" thickBot="1">
      <c r="A28" s="4"/>
      <c r="B28" s="4"/>
      <c r="C28" s="3" t="s">
        <v>109</v>
      </c>
      <c r="D28" s="9"/>
      <c r="E28" s="1">
        <f>O28*1.145</f>
        <v>0.37922400000000001</v>
      </c>
      <c r="F28" s="1">
        <f>A28*0.231+M28*0.189+O28*0.0414+P28*0.2+Q28*0.27+R28*0.33+S28*0.005*0.434</f>
        <v>0.14278736000000003</v>
      </c>
      <c r="G28" s="1">
        <f>A28*0.6447+M28*0.672+O28*0.4158+P28*1.06+Q28*0.96+R28*0.921+S28*0.005*1.575</f>
        <v>0.53475345600000002</v>
      </c>
      <c r="H28" s="1">
        <f>A28*(0.777+0.45)+M28*(0.777+0.45)+P28*1.11+Q28*1.11+R28*1.11</f>
        <v>0.43353936000000004</v>
      </c>
      <c r="I28" s="5"/>
      <c r="J28" s="24">
        <f t="shared" si="5"/>
        <v>402.15860736000002</v>
      </c>
      <c r="K28" s="5"/>
      <c r="L28" s="1">
        <f>O28*0.0414</f>
        <v>1.371168E-2</v>
      </c>
      <c r="M28" s="6"/>
      <c r="N28" s="7">
        <f>(1.1*1.1+4*0.09*0.09*1)/2.5</f>
        <v>0.49696000000000007</v>
      </c>
      <c r="O28" s="7">
        <f>2*(0.92+0.92)*1*0.09</f>
        <v>0.33119999999999999</v>
      </c>
      <c r="P28" s="7">
        <v>0.06</v>
      </c>
      <c r="Q28" s="8"/>
      <c r="R28" s="7">
        <f>3*N28*2*0.1+0.09*0.09*1*4</f>
        <v>0.33057600000000004</v>
      </c>
      <c r="S28" s="7">
        <f>4*(0.92+0.92)/2*1</f>
        <v>3.68</v>
      </c>
      <c r="T28" s="7">
        <f>40*R28</f>
        <v>13.223040000000001</v>
      </c>
      <c r="U28" s="8"/>
    </row>
    <row r="29" spans="1:21" ht="16.5" thickBot="1">
      <c r="A29" s="4"/>
      <c r="B29" s="4"/>
      <c r="C29" s="3" t="s">
        <v>76</v>
      </c>
      <c r="D29" s="9"/>
      <c r="E29" s="1">
        <f t="shared" si="6"/>
        <v>0.92332800000000004</v>
      </c>
      <c r="F29" s="1">
        <f t="shared" si="3"/>
        <v>0.24370624000000002</v>
      </c>
      <c r="G29" s="1">
        <f t="shared" si="4"/>
        <v>0.97291001600000004</v>
      </c>
      <c r="H29" s="1">
        <f t="shared" si="1"/>
        <v>0.70038336000000012</v>
      </c>
      <c r="I29" s="5"/>
      <c r="J29" s="24">
        <f t="shared" si="5"/>
        <v>728.65157802666658</v>
      </c>
      <c r="K29" s="5"/>
      <c r="L29" s="1">
        <f t="shared" si="2"/>
        <v>3.3384959999999998E-2</v>
      </c>
      <c r="M29" s="6"/>
      <c r="N29" s="7">
        <f>(1.48*1.48+4*0.14*0.14*1.2)/3</f>
        <v>0.76149333333333324</v>
      </c>
      <c r="O29" s="7">
        <f>2*(1.2+1.2)*1.2*0.14</f>
        <v>0.80640000000000001</v>
      </c>
      <c r="P29" s="7">
        <v>0.08</v>
      </c>
      <c r="Q29" s="8"/>
      <c r="R29" s="7">
        <f>3*N29*2*0.1+0.14*0.14*1.2*4</f>
        <v>0.55097600000000002</v>
      </c>
      <c r="S29" s="7">
        <f>4*(1.2+1.2)/2*1.2</f>
        <v>5.76</v>
      </c>
      <c r="T29" s="7">
        <f>40*R29</f>
        <v>22.03904</v>
      </c>
      <c r="U29" s="8"/>
    </row>
    <row r="30" spans="1:21" ht="16.5" thickBot="1">
      <c r="A30" s="4"/>
      <c r="B30" s="4"/>
      <c r="C30" s="3" t="s">
        <v>77</v>
      </c>
      <c r="D30" s="9"/>
      <c r="E30" s="1">
        <f t="shared" si="6"/>
        <v>1.2567519999999999</v>
      </c>
      <c r="F30" s="1">
        <f t="shared" si="3"/>
        <v>0.3141968</v>
      </c>
      <c r="G30" s="1">
        <f t="shared" si="4"/>
        <v>1.2759149119999997</v>
      </c>
      <c r="H30" s="1">
        <f t="shared" si="1"/>
        <v>0.89487311999999997</v>
      </c>
      <c r="I30" s="5"/>
      <c r="J30" s="24">
        <f t="shared" si="5"/>
        <v>946.77245445333324</v>
      </c>
      <c r="K30" s="5"/>
      <c r="L30" s="1">
        <f t="shared" si="2"/>
        <v>4.5440639999999997E-2</v>
      </c>
      <c r="M30" s="6"/>
      <c r="N30" s="7">
        <f>(1.68*1.68+4*0.14*0.14*1.4)/3</f>
        <v>0.97738666666666651</v>
      </c>
      <c r="O30" s="7">
        <f>2*(1.4+1.4)*1.4*0.14</f>
        <v>1.0975999999999999</v>
      </c>
      <c r="P30" s="7">
        <v>0.11</v>
      </c>
      <c r="Q30" s="8"/>
      <c r="R30" s="7">
        <f>3*N30*2*0.1+0.14*0.14*1.4*4</f>
        <v>0.69619199999999992</v>
      </c>
      <c r="S30" s="7">
        <f>4*(1.4+1.4)/2*1.4</f>
        <v>7.839999999999999</v>
      </c>
      <c r="T30" s="7">
        <f>40*R30</f>
        <v>27.847679999999997</v>
      </c>
      <c r="U30" s="8"/>
    </row>
    <row r="31" spans="1:21" ht="16.5" thickBot="1">
      <c r="A31" s="4"/>
      <c r="B31" s="4"/>
      <c r="C31" s="3" t="s">
        <v>78</v>
      </c>
      <c r="D31" s="9"/>
      <c r="E31" s="1">
        <f t="shared" ref="E31:E70" si="16">O31*1.145</f>
        <v>1.7851008000000002</v>
      </c>
      <c r="F31" s="1">
        <f t="shared" si="3"/>
        <v>0.42857449600000003</v>
      </c>
      <c r="G31" s="1">
        <f t="shared" si="4"/>
        <v>1.7643028000000003</v>
      </c>
      <c r="H31" s="1">
        <f t="shared" si="1"/>
        <v>1.2150148800000002</v>
      </c>
      <c r="I31" s="5"/>
      <c r="J31" s="24">
        <f t="shared" si="5"/>
        <v>1301.1379527466668</v>
      </c>
      <c r="K31" s="5"/>
      <c r="L31" s="1">
        <f>O31*0.0414</f>
        <v>6.4544256000000008E-2</v>
      </c>
      <c r="M31" s="6"/>
      <c r="N31" s="7">
        <f>(1.98*1.98+4*0.14*0.14*1.6)/3</f>
        <v>1.3486133333333334</v>
      </c>
      <c r="O31" s="7">
        <f>2*(1.7+1.78)*1.6*0.14</f>
        <v>1.5590400000000002</v>
      </c>
      <c r="P31" s="7">
        <v>0.16</v>
      </c>
      <c r="Q31" s="8"/>
      <c r="R31" s="7">
        <f>3*N31*2*0.1+0.14*0.14*1.6*4</f>
        <v>0.93460800000000011</v>
      </c>
      <c r="S31" s="7">
        <f>4*(1.7+1.7)/2*1.6</f>
        <v>10.88</v>
      </c>
      <c r="T31" s="7">
        <f>40*R31</f>
        <v>37.384320000000002</v>
      </c>
      <c r="U31" s="8"/>
    </row>
    <row r="32" spans="1:21" ht="16.5" thickBot="1">
      <c r="A32" s="4"/>
      <c r="B32" s="4"/>
      <c r="C32" s="3" t="s">
        <v>521</v>
      </c>
      <c r="D32" s="9"/>
      <c r="E32" s="1">
        <f t="shared" si="16"/>
        <v>0</v>
      </c>
      <c r="F32" s="1">
        <f t="shared" si="3"/>
        <v>0.13322880000000001</v>
      </c>
      <c r="G32" s="1">
        <f t="shared" si="4"/>
        <v>0.40193856</v>
      </c>
      <c r="H32" s="1">
        <f t="shared" si="1"/>
        <v>0.47436960000000006</v>
      </c>
      <c r="I32" s="5"/>
      <c r="J32" s="24">
        <f t="shared" si="5"/>
        <v>303.02815626666666</v>
      </c>
      <c r="K32" s="5"/>
      <c r="L32" s="1">
        <f t="shared" si="2"/>
        <v>0</v>
      </c>
      <c r="M32" s="6"/>
      <c r="N32" s="7">
        <f>N37/2</f>
        <v>0.94933333333333358</v>
      </c>
      <c r="O32" s="7"/>
      <c r="P32" s="7">
        <v>0.06</v>
      </c>
      <c r="Q32" s="8"/>
      <c r="R32" s="7">
        <f>(4*0.8*0.12*(0.7+0.88)/2+(0.8*0.8)*0.1)</f>
        <v>0.36736000000000002</v>
      </c>
      <c r="S32" s="7"/>
      <c r="T32" s="7">
        <f>T27</f>
        <v>8.7198719999999987</v>
      </c>
      <c r="U32" s="8"/>
    </row>
    <row r="33" spans="1:21" ht="16.5" thickBot="1">
      <c r="A33" s="4"/>
      <c r="B33" s="4"/>
      <c r="C33" s="3" t="s">
        <v>522</v>
      </c>
      <c r="D33" s="9"/>
      <c r="E33" s="1">
        <f t="shared" si="16"/>
        <v>0</v>
      </c>
      <c r="F33" s="1">
        <f>A33*0.231+M33*0.189+O33*0.0414+P33*0.2+Q33*0.27+R33*0.33+S33*0.005*0.434</f>
        <v>0.20564730000000003</v>
      </c>
      <c r="G33" s="1">
        <f>A33*0.6447+M33*0.672+O33*0.4158+P33*1.06+Q33*0.96+R33*0.921+S33*0.005*1.575</f>
        <v>0.60405201000000008</v>
      </c>
      <c r="H33" s="1">
        <f>A33*(0.777+0.45)+M33*(0.777+0.45)+P33*1.11+Q33*1.11+R33*1.11</f>
        <v>0.71795910000000007</v>
      </c>
      <c r="I33" s="5"/>
      <c r="J33" s="24">
        <f t="shared" si="5"/>
        <v>466.10345326666669</v>
      </c>
      <c r="K33" s="5"/>
      <c r="L33" s="1">
        <f>O33*0.0414</f>
        <v>0</v>
      </c>
      <c r="M33" s="6"/>
      <c r="N33" s="7">
        <f>N38/2</f>
        <v>1.5166833333333332</v>
      </c>
      <c r="O33" s="7"/>
      <c r="P33" s="7">
        <v>0.06</v>
      </c>
      <c r="Q33" s="8"/>
      <c r="R33" s="7">
        <f>(4*1*0.12*(0.92+1.1)/2+(1.01*1.01)*0.1)</f>
        <v>0.58681000000000005</v>
      </c>
      <c r="S33" s="7"/>
      <c r="T33" s="7">
        <f>T28</f>
        <v>13.223040000000001</v>
      </c>
      <c r="U33" s="8"/>
    </row>
    <row r="34" spans="1:21" ht="16.5" thickBot="1">
      <c r="A34" s="4"/>
      <c r="B34" s="4"/>
      <c r="C34" s="3" t="s">
        <v>523</v>
      </c>
      <c r="D34" s="9"/>
      <c r="E34" s="1">
        <f t="shared" si="16"/>
        <v>0</v>
      </c>
      <c r="F34" s="1">
        <f>A34*0.231+M34*0.189+O34*0.0414+P34*0.2+Q34*0.27+R34*0.33+S34*0.005*0.434</f>
        <v>0.38487894999999994</v>
      </c>
      <c r="G34" s="1">
        <f>A34*0.6447+M34*0.672+O34*0.4158+P34*1.06+Q34*0.96+R34*0.921+S34*0.005*1.575</f>
        <v>1.1143076149999998</v>
      </c>
      <c r="H34" s="1">
        <f>A34*(0.777+0.45)+M34*(0.777+0.45)+P34*1.11+Q34*1.11+R34*1.11</f>
        <v>1.3295746499999999</v>
      </c>
      <c r="I34" s="5"/>
      <c r="J34" s="24">
        <f t="shared" si="5"/>
        <v>813.43373123333322</v>
      </c>
      <c r="K34" s="5"/>
      <c r="L34" s="1">
        <f>O34*0.0414</f>
        <v>0</v>
      </c>
      <c r="M34" s="6"/>
      <c r="N34" s="7">
        <f>N39/2</f>
        <v>2.4432666666666667</v>
      </c>
      <c r="O34" s="7"/>
      <c r="P34" s="7">
        <v>0.08</v>
      </c>
      <c r="Q34" s="8"/>
      <c r="R34" s="7">
        <f>(4*1.2*0.15*(1.2+1.48)/2+(1.01*1.01)*0.15)</f>
        <v>1.1178149999999998</v>
      </c>
      <c r="S34" s="7"/>
      <c r="T34" s="7">
        <f>T29</f>
        <v>22.03904</v>
      </c>
      <c r="U34" s="8"/>
    </row>
    <row r="35" spans="1:21" ht="16.5" thickBot="1">
      <c r="A35" s="4"/>
      <c r="B35" s="4"/>
      <c r="C35" s="3" t="s">
        <v>524</v>
      </c>
      <c r="D35" s="9"/>
      <c r="E35" s="1">
        <f t="shared" si="16"/>
        <v>0</v>
      </c>
      <c r="F35" s="1">
        <f>A35*0.231+M35*0.189+O35*0.0414+P35*0.2+Q35*0.27+R35*0.33+S35*0.005*0.434</f>
        <v>0.56628220000000007</v>
      </c>
      <c r="G35" s="1">
        <f>A35*0.6447+M35*0.672+O35*0.4158+P35*1.06+Q35*0.96+R35*0.921+S35*0.005*1.575</f>
        <v>1.6356421400000001</v>
      </c>
      <c r="H35" s="1">
        <f>A35*(0.777+0.45)+M35*(0.777+0.45)+P35*1.11+Q35*1.11+R35*1.11</f>
        <v>1.9528674000000004</v>
      </c>
      <c r="I35" s="5"/>
      <c r="J35" s="24">
        <f t="shared" si="5"/>
        <v>1125.3003310666666</v>
      </c>
      <c r="K35" s="5"/>
      <c r="L35" s="1">
        <f>O35*0.0414</f>
        <v>0</v>
      </c>
      <c r="M35" s="6"/>
      <c r="N35" s="7">
        <f>N40/2</f>
        <v>3.2699333333333329</v>
      </c>
      <c r="O35" s="7"/>
      <c r="P35" s="7">
        <v>0.11</v>
      </c>
      <c r="Q35" s="8"/>
      <c r="R35" s="7">
        <f>(4*1.4*0.15*(1.4+1.68)/2+(1.54*1.54)*0.15)</f>
        <v>1.64934</v>
      </c>
      <c r="S35" s="7"/>
      <c r="T35" s="7">
        <f>T30</f>
        <v>27.847679999999997</v>
      </c>
      <c r="U35" s="8"/>
    </row>
    <row r="36" spans="1:21" ht="16.5" thickBot="1">
      <c r="A36" s="4"/>
      <c r="B36" s="4"/>
      <c r="C36" s="3" t="s">
        <v>525</v>
      </c>
      <c r="D36" s="9"/>
      <c r="E36" s="1">
        <f>O36*1.145</f>
        <v>0</v>
      </c>
      <c r="F36" s="1">
        <f>A36*0.231+M36*0.189+O36*0.0414+P36*0.2+Q36*0.27+R36*0.33+S36*0.005*0.434</f>
        <v>0.78249919999999995</v>
      </c>
      <c r="G36" s="1">
        <f>A36*0.6447+M36*0.672+O36*0.4158+P36*1.06+Q36*0.96+R36*0.921+S36*0.005*1.575</f>
        <v>2.26417504</v>
      </c>
      <c r="H36" s="1">
        <f>A36*(0.777+0.45)+M36*(0.777+0.45)+P36*1.11+Q36*1.11+R36*1.11</f>
        <v>2.7020064000000001</v>
      </c>
      <c r="I36" s="5"/>
      <c r="J36" s="24">
        <f t="shared" si="5"/>
        <v>1542.1032384</v>
      </c>
      <c r="K36" s="5"/>
      <c r="L36" s="1">
        <f>O36*0.0414</f>
        <v>0</v>
      </c>
      <c r="M36" s="6"/>
      <c r="N36" s="7">
        <f>N41/2</f>
        <v>4.4896000000000003</v>
      </c>
      <c r="O36" s="7"/>
      <c r="P36" s="7">
        <v>0.16</v>
      </c>
      <c r="Q36" s="8"/>
      <c r="R36" s="7">
        <f>(4*1.6*0.15*(1.7+1.98)/2+(1.84*1.84)*0.15)</f>
        <v>2.2742399999999998</v>
      </c>
      <c r="S36" s="7"/>
      <c r="T36" s="7">
        <f>T31</f>
        <v>37.384320000000002</v>
      </c>
      <c r="U36" s="8"/>
    </row>
    <row r="37" spans="1:21" ht="16.5" thickBot="1">
      <c r="A37" s="4"/>
      <c r="B37" s="4"/>
      <c r="C37" s="3" t="s">
        <v>526</v>
      </c>
      <c r="D37" s="9"/>
      <c r="E37" s="1">
        <f t="shared" si="16"/>
        <v>0</v>
      </c>
      <c r="F37" s="1">
        <f t="shared" si="3"/>
        <v>0.13745280000000004</v>
      </c>
      <c r="G37" s="1">
        <f t="shared" si="4"/>
        <v>0.41372736000000004</v>
      </c>
      <c r="H37" s="1">
        <f t="shared" si="1"/>
        <v>0.48857760000000011</v>
      </c>
      <c r="I37" s="5"/>
      <c r="J37" s="24">
        <f t="shared" si="5"/>
        <v>581.86185493333335</v>
      </c>
      <c r="K37" s="5"/>
      <c r="L37" s="1">
        <f t="shared" si="2"/>
        <v>0</v>
      </c>
      <c r="M37" s="6"/>
      <c r="N37" s="7">
        <f>(4*0.8*(0.7+0.88)+(0.8*0.8))/3</f>
        <v>1.8986666666666672</v>
      </c>
      <c r="O37" s="7"/>
      <c r="P37" s="7">
        <v>0.06</v>
      </c>
      <c r="Q37" s="8"/>
      <c r="R37" s="7">
        <f>(4*0.8*0.12*(0.7+0.88)/2+(0.8*0.8)*0.12)</f>
        <v>0.38016000000000005</v>
      </c>
      <c r="S37" s="7"/>
      <c r="T37" s="7">
        <f>ROUND(R37*75,2)</f>
        <v>28.51</v>
      </c>
      <c r="U37" s="8"/>
    </row>
    <row r="38" spans="1:21" ht="16.5" thickBot="1">
      <c r="A38" s="4"/>
      <c r="B38" s="4"/>
      <c r="C38" s="3" t="s">
        <v>527</v>
      </c>
      <c r="D38" s="9"/>
      <c r="E38" s="1">
        <f>O38*1.145</f>
        <v>0</v>
      </c>
      <c r="F38" s="1">
        <f>A38*0.231+M38*0.189+O38*0.0414+P38*0.2+Q38*0.27+R38*0.33+S38*0.005*0.434</f>
        <v>0.21237996000000001</v>
      </c>
      <c r="G38" s="1">
        <f>A38*0.6447+M38*0.672+O38*0.4158+P38*1.06+Q38*0.96+R38*0.921+S38*0.005*1.575</f>
        <v>0.62284225199999999</v>
      </c>
      <c r="H38" s="1">
        <f>A38*(0.777+0.45)+M38*(0.777+0.45)+P38*1.11+Q38*1.11+R38*1.11</f>
        <v>0.74060532000000001</v>
      </c>
      <c r="I38" s="5"/>
      <c r="J38" s="24">
        <f t="shared" si="5"/>
        <v>918.90643245333331</v>
      </c>
      <c r="K38" s="5"/>
      <c r="L38" s="1">
        <f>O38*0.0414</f>
        <v>0</v>
      </c>
      <c r="M38" s="6"/>
      <c r="N38" s="7">
        <f>(4*1*(0.92+1.1)+(1.01*1.01))/3</f>
        <v>3.0333666666666663</v>
      </c>
      <c r="O38" s="7"/>
      <c r="P38" s="7">
        <v>0.06</v>
      </c>
      <c r="Q38" s="8"/>
      <c r="R38" s="7">
        <f>(4*1*0.12*(0.92+1.1)/2+(1.01*1.01)*0.12)</f>
        <v>0.60721199999999997</v>
      </c>
      <c r="S38" s="7"/>
      <c r="T38" s="7">
        <f>ROUND(R38*75,2)</f>
        <v>45.54</v>
      </c>
      <c r="U38" s="8"/>
    </row>
    <row r="39" spans="1:21" ht="16.5" thickBot="1">
      <c r="A39" s="4"/>
      <c r="B39" s="4"/>
      <c r="C39" s="3" t="s">
        <v>528</v>
      </c>
      <c r="D39" s="9"/>
      <c r="E39" s="1">
        <f t="shared" si="16"/>
        <v>0</v>
      </c>
      <c r="F39" s="1">
        <f t="shared" si="3"/>
        <v>0.38487894999999994</v>
      </c>
      <c r="G39" s="1">
        <f t="shared" si="4"/>
        <v>1.1143076149999998</v>
      </c>
      <c r="H39" s="1">
        <f t="shared" si="1"/>
        <v>1.3295746499999999</v>
      </c>
      <c r="I39" s="5"/>
      <c r="J39" s="24">
        <f t="shared" si="5"/>
        <v>1575.0684005666667</v>
      </c>
      <c r="K39" s="5"/>
      <c r="L39" s="1">
        <f t="shared" si="2"/>
        <v>0</v>
      </c>
      <c r="M39" s="6"/>
      <c r="N39" s="7">
        <f>(4*1.2*(1.2+1.48)+(1.34*1.34))/3</f>
        <v>4.8865333333333334</v>
      </c>
      <c r="O39" s="7"/>
      <c r="P39" s="7">
        <v>0.08</v>
      </c>
      <c r="Q39" s="8"/>
      <c r="R39" s="7">
        <f>(4*1.2*0.15*(1.2+1.48)/2+(1.01*1.01)*0.15)</f>
        <v>1.1178149999999998</v>
      </c>
      <c r="S39" s="7"/>
      <c r="T39" s="7">
        <f>ROUND(R39*70,2)</f>
        <v>78.25</v>
      </c>
      <c r="U39" s="8"/>
    </row>
    <row r="40" spans="1:21" ht="16.5" thickBot="1">
      <c r="A40" s="4"/>
      <c r="B40" s="4"/>
      <c r="C40" s="3" t="s">
        <v>529</v>
      </c>
      <c r="D40" s="9"/>
      <c r="E40" s="1">
        <f t="shared" si="16"/>
        <v>0</v>
      </c>
      <c r="F40" s="1">
        <f t="shared" si="3"/>
        <v>0.56628220000000007</v>
      </c>
      <c r="G40" s="1">
        <f t="shared" si="4"/>
        <v>1.6356421400000001</v>
      </c>
      <c r="H40" s="1">
        <f t="shared" si="1"/>
        <v>1.9528674000000004</v>
      </c>
      <c r="I40" s="5"/>
      <c r="J40" s="24">
        <f t="shared" si="5"/>
        <v>2274.5432137333337</v>
      </c>
      <c r="K40" s="5"/>
      <c r="L40" s="1">
        <f t="shared" si="2"/>
        <v>0</v>
      </c>
      <c r="M40" s="6"/>
      <c r="N40" s="7">
        <f>(4*1.4*(1.4+1.68)+(1.54*1.54))/3</f>
        <v>6.5398666666666658</v>
      </c>
      <c r="O40" s="7"/>
      <c r="P40" s="7">
        <v>0.11</v>
      </c>
      <c r="Q40" s="8"/>
      <c r="R40" s="7">
        <f>(4*1.4*0.15*(1.4+1.68)/2+(1.54*1.54)*0.15)</f>
        <v>1.64934</v>
      </c>
      <c r="S40" s="7"/>
      <c r="T40" s="7">
        <f>ROUND(R40*70,2)</f>
        <v>115.45</v>
      </c>
      <c r="U40" s="8"/>
    </row>
    <row r="41" spans="1:21" ht="16.5" thickBot="1">
      <c r="A41" s="4"/>
      <c r="B41" s="4"/>
      <c r="C41" s="3" t="s">
        <v>530</v>
      </c>
      <c r="D41" s="9"/>
      <c r="E41" s="1">
        <f t="shared" si="16"/>
        <v>0</v>
      </c>
      <c r="F41" s="1">
        <f t="shared" si="3"/>
        <v>0.78249919999999995</v>
      </c>
      <c r="G41" s="1">
        <f t="shared" si="4"/>
        <v>2.26417504</v>
      </c>
      <c r="H41" s="1">
        <f t="shared" si="1"/>
        <v>2.7020064000000001</v>
      </c>
      <c r="I41" s="5"/>
      <c r="J41" s="24">
        <f t="shared" si="5"/>
        <v>3136.1582143999999</v>
      </c>
      <c r="K41" s="5"/>
      <c r="L41" s="1">
        <f t="shared" si="2"/>
        <v>0</v>
      </c>
      <c r="M41" s="6"/>
      <c r="N41" s="7">
        <f>(4*1.6*(1.7+1.98)+(1.84*1.84))/3</f>
        <v>8.9792000000000005</v>
      </c>
      <c r="O41" s="7"/>
      <c r="P41" s="7">
        <v>0.16</v>
      </c>
      <c r="Q41" s="8"/>
      <c r="R41" s="7">
        <f>(4*1.6*0.15*(1.7+1.98)/2+(1.84*1.84)*0.15)</f>
        <v>2.2742399999999998</v>
      </c>
      <c r="S41" s="7"/>
      <c r="T41" s="7">
        <f>ROUND(R41*70,2)</f>
        <v>159.19999999999999</v>
      </c>
      <c r="U41" s="8"/>
    </row>
    <row r="42" spans="1:21" ht="16.5" thickBot="1">
      <c r="A42" s="4"/>
      <c r="B42" s="4"/>
      <c r="C42" s="3" t="s">
        <v>531</v>
      </c>
      <c r="D42" s="9"/>
      <c r="E42" s="1">
        <f t="shared" si="16"/>
        <v>0</v>
      </c>
      <c r="F42" s="1">
        <f t="shared" si="3"/>
        <v>1.2144229499999999</v>
      </c>
      <c r="G42" s="1">
        <f t="shared" si="4"/>
        <v>3.5097804149999998</v>
      </c>
      <c r="H42" s="1">
        <f t="shared" si="1"/>
        <v>4.18982265</v>
      </c>
      <c r="I42" s="5"/>
      <c r="J42" s="24">
        <f t="shared" si="5"/>
        <v>4627.1017038999998</v>
      </c>
      <c r="K42" s="5"/>
      <c r="L42" s="1">
        <f t="shared" si="2"/>
        <v>0</v>
      </c>
      <c r="M42" s="6"/>
      <c r="N42" s="7">
        <f>(4*2*(2.1+2.48)+(2.29*2.29))/4</f>
        <v>10.471025000000001</v>
      </c>
      <c r="O42" s="7"/>
      <c r="P42" s="7">
        <v>0.24</v>
      </c>
      <c r="Q42" s="8"/>
      <c r="R42" s="7">
        <f>(4*2*0.15*(2.1+2.48)/2+(2.29*2.29)*0.15)</f>
        <v>3.5346149999999996</v>
      </c>
      <c r="S42" s="7"/>
      <c r="T42" s="7">
        <f>ROUND(R42*70,2)</f>
        <v>247.42</v>
      </c>
      <c r="U42" s="8"/>
    </row>
    <row r="43" spans="1:21" ht="16.5" thickBot="1">
      <c r="A43" s="4"/>
      <c r="B43" s="4"/>
      <c r="C43" s="3" t="s">
        <v>532</v>
      </c>
      <c r="D43" s="9"/>
      <c r="E43" s="1">
        <f t="shared" si="16"/>
        <v>0</v>
      </c>
      <c r="F43" s="1">
        <f t="shared" si="3"/>
        <v>1.9159789500000002</v>
      </c>
      <c r="G43" s="1">
        <f t="shared" si="4"/>
        <v>5.5279776150000002</v>
      </c>
      <c r="H43" s="1">
        <f t="shared" si="1"/>
        <v>6.6020746500000005</v>
      </c>
      <c r="I43" s="5"/>
      <c r="J43" s="24">
        <f t="shared" si="5"/>
        <v>7308.1928558999998</v>
      </c>
      <c r="K43" s="5"/>
      <c r="L43" s="1">
        <f t="shared" si="2"/>
        <v>0</v>
      </c>
      <c r="M43" s="6"/>
      <c r="N43" s="7">
        <f>(4*2.5*(2.7+3.08)+(2.89*2.89))/4</f>
        <v>16.538025000000001</v>
      </c>
      <c r="O43" s="7"/>
      <c r="P43" s="7">
        <v>0.36</v>
      </c>
      <c r="Q43" s="8"/>
      <c r="R43" s="7">
        <f>(4*2.5*0.15*(2.7+3.08)/2+(2.89*2.89)*0.15)</f>
        <v>5.587815</v>
      </c>
      <c r="S43" s="7"/>
      <c r="T43" s="7">
        <f>ROUND(R43*70,2)</f>
        <v>391.15</v>
      </c>
      <c r="U43" s="8"/>
    </row>
    <row r="44" spans="1:21" ht="16.5" thickBot="1">
      <c r="A44" s="4"/>
      <c r="B44" s="4"/>
      <c r="C44" s="3" t="s">
        <v>156</v>
      </c>
      <c r="D44" s="9"/>
      <c r="E44" s="1">
        <f t="shared" si="16"/>
        <v>0.73280000000000001</v>
      </c>
      <c r="F44" s="1">
        <f t="shared" si="3"/>
        <v>0.34362620000000005</v>
      </c>
      <c r="G44" s="1">
        <f t="shared" si="4"/>
        <v>1.2014845000000001</v>
      </c>
      <c r="H44" s="1">
        <f t="shared" si="1"/>
        <v>1.1100000000000001</v>
      </c>
      <c r="I44" s="5">
        <v>1</v>
      </c>
      <c r="J44" s="24">
        <f t="shared" si="5"/>
        <v>1378.995494</v>
      </c>
      <c r="K44" s="5">
        <v>1</v>
      </c>
      <c r="L44" s="1">
        <f t="shared" si="2"/>
        <v>2.6495999999999999E-2</v>
      </c>
      <c r="M44" s="6"/>
      <c r="N44" s="7">
        <f>ROUND((4.9+2*0.5)/5,2)</f>
        <v>1.18</v>
      </c>
      <c r="O44" s="7">
        <f>ROUND((1.285*0.5),2)</f>
        <v>0.64</v>
      </c>
      <c r="P44" s="7">
        <v>0.1</v>
      </c>
      <c r="Q44" s="8"/>
      <c r="R44" s="7">
        <f>ROUND((0.8 +0.205 *0.5),2)</f>
        <v>0.9</v>
      </c>
      <c r="S44" s="7">
        <f>ROUND((0.12 *0.5),2)</f>
        <v>0.06</v>
      </c>
      <c r="T44" s="7">
        <f>ROUND((21.07 +8.54 *0.5),2)</f>
        <v>25.34</v>
      </c>
      <c r="U44" s="8"/>
    </row>
    <row r="45" spans="1:21" ht="16.5" thickBot="1">
      <c r="A45" s="4"/>
      <c r="B45" s="4"/>
      <c r="C45" s="3" t="s">
        <v>157</v>
      </c>
      <c r="D45" s="9"/>
      <c r="E45" s="1">
        <f t="shared" si="16"/>
        <v>1.0305</v>
      </c>
      <c r="F45" s="1">
        <f t="shared" si="3"/>
        <v>0.37163359999999995</v>
      </c>
      <c r="G45" s="1">
        <f t="shared" si="4"/>
        <v>1.3677899999999998</v>
      </c>
      <c r="H45" s="1">
        <f t="shared" si="1"/>
        <v>1.1766000000000001</v>
      </c>
      <c r="I45" s="5">
        <v>1</v>
      </c>
      <c r="J45" s="24">
        <f t="shared" si="5"/>
        <v>1493.3983920000001</v>
      </c>
      <c r="K45" s="5">
        <v>1</v>
      </c>
      <c r="L45" s="1">
        <f t="shared" si="2"/>
        <v>3.7260000000000001E-2</v>
      </c>
      <c r="M45" s="6"/>
      <c r="N45" s="7">
        <f>ROUND((4.9+2*0.7)/5,2)</f>
        <v>1.26</v>
      </c>
      <c r="O45" s="7">
        <f>ROUND((1.285*0.7),2)</f>
        <v>0.9</v>
      </c>
      <c r="P45" s="7">
        <v>0.12</v>
      </c>
      <c r="Q45" s="8"/>
      <c r="R45" s="7">
        <f>ROUND((0.8 +0.205 *0.7),2)</f>
        <v>0.94</v>
      </c>
      <c r="S45" s="7">
        <f>ROUND((0.12 *0.7),2)</f>
        <v>0.08</v>
      </c>
      <c r="T45" s="7">
        <f>ROUND((21.07 +8.54 *0.7),2)</f>
        <v>27.05</v>
      </c>
      <c r="U45" s="8"/>
    </row>
    <row r="46" spans="1:21" ht="16.5" thickBot="1">
      <c r="A46" s="4"/>
      <c r="B46" s="4"/>
      <c r="C46" s="3" t="s">
        <v>158</v>
      </c>
      <c r="D46" s="9"/>
      <c r="E46" s="1">
        <f t="shared" si="16"/>
        <v>1.47705</v>
      </c>
      <c r="F46" s="1">
        <f t="shared" si="3"/>
        <v>0.41296640000000001</v>
      </c>
      <c r="G46" s="1">
        <f t="shared" si="4"/>
        <v>1.6053370000000002</v>
      </c>
      <c r="H46" s="1">
        <f t="shared" si="1"/>
        <v>1.2654000000000003</v>
      </c>
      <c r="I46" s="5">
        <v>1</v>
      </c>
      <c r="J46" s="24">
        <f t="shared" si="5"/>
        <v>1662.5411879999997</v>
      </c>
      <c r="K46" s="5">
        <v>1</v>
      </c>
      <c r="L46" s="1">
        <f t="shared" si="2"/>
        <v>5.3406000000000002E-2</v>
      </c>
      <c r="M46" s="6"/>
      <c r="N46" s="7">
        <f>ROUND((4.9+2*1)/5,2)</f>
        <v>1.38</v>
      </c>
      <c r="O46" s="7">
        <f>ROUND((1.285*1),2)</f>
        <v>1.29</v>
      </c>
      <c r="P46" s="7">
        <v>0.13</v>
      </c>
      <c r="Q46" s="8">
        <f>(Q45+Q47)/2</f>
        <v>0</v>
      </c>
      <c r="R46" s="7">
        <f>ROUND((0.8 +0.205 *1),2)</f>
        <v>1.01</v>
      </c>
      <c r="S46" s="7">
        <f>ROUND((0.12 *1),2)</f>
        <v>0.12</v>
      </c>
      <c r="T46" s="7">
        <f>ROUND((21.07 +8.54 *1),2)</f>
        <v>29.61</v>
      </c>
      <c r="U46" s="8"/>
    </row>
    <row r="47" spans="1:21" ht="16.5" thickBot="1">
      <c r="A47" s="4"/>
      <c r="B47" s="4"/>
      <c r="C47" s="3" t="s">
        <v>159</v>
      </c>
      <c r="D47" s="9"/>
      <c r="E47" s="1">
        <f t="shared" si="16"/>
        <v>1.7633000000000001</v>
      </c>
      <c r="F47" s="1">
        <f t="shared" si="3"/>
        <v>0.43855980000000006</v>
      </c>
      <c r="G47" s="1">
        <f t="shared" si="4"/>
        <v>1.7568845</v>
      </c>
      <c r="H47" s="1">
        <f t="shared" si="1"/>
        <v>1.3209000000000002</v>
      </c>
      <c r="I47" s="5">
        <v>1</v>
      </c>
      <c r="J47" s="24">
        <f t="shared" si="5"/>
        <v>1771.2670860000001</v>
      </c>
      <c r="K47" s="5">
        <v>1</v>
      </c>
      <c r="L47" s="1">
        <f t="shared" si="2"/>
        <v>6.3756000000000007E-2</v>
      </c>
      <c r="M47" s="6"/>
      <c r="N47" s="7">
        <f>ROUND((4.9+2*1.2)/5,2)</f>
        <v>1.46</v>
      </c>
      <c r="O47" s="7">
        <f>ROUND((1.285*1.2),2)</f>
        <v>1.54</v>
      </c>
      <c r="P47" s="7">
        <v>0.14000000000000001</v>
      </c>
      <c r="Q47" s="8"/>
      <c r="R47" s="7">
        <f>ROUND((0.8 +0.205 *1.2),2)</f>
        <v>1.05</v>
      </c>
      <c r="S47" s="7">
        <f>ROUND((0.12 *1.2),2)</f>
        <v>0.14000000000000001</v>
      </c>
      <c r="T47" s="7">
        <f>ROUND((21.07 +8.54 *1.2),2)</f>
        <v>31.32</v>
      </c>
      <c r="U47" s="8"/>
    </row>
    <row r="48" spans="1:21" ht="16.5" thickBot="1">
      <c r="A48" s="4"/>
      <c r="B48" s="4"/>
      <c r="C48" s="3" t="s">
        <v>160</v>
      </c>
      <c r="D48" s="9"/>
      <c r="E48" s="1">
        <f t="shared" ref="E48:E53" si="17">O48*1.145</f>
        <v>2.2098499999999999</v>
      </c>
      <c r="F48" s="1">
        <f t="shared" ref="F48:F53" si="18">A48*0.231+M48*0.189+O48*0.0414+P48*0.2+Q48*0.27+R48*0.33+S48*0.005*0.434</f>
        <v>0.47459260000000009</v>
      </c>
      <c r="G48" s="1">
        <f t="shared" ref="G48:G53" si="19">A48*0.6447+M48*0.672+O48*0.4158+P48*1.06+Q48*0.96+R48*0.921+S48*0.005*1.575</f>
        <v>1.9746215</v>
      </c>
      <c r="H48" s="1">
        <f t="shared" ref="H48:H53" si="20">A48*(0.777+0.45)+M48*(0.777+0.45)+P48*1.11+Q48*1.11+R48*1.11</f>
        <v>1.3875000000000002</v>
      </c>
      <c r="I48" s="5">
        <v>1</v>
      </c>
      <c r="J48" s="24">
        <f t="shared" si="5"/>
        <v>1934.0035820000001</v>
      </c>
      <c r="K48" s="5">
        <v>1</v>
      </c>
      <c r="L48" s="1">
        <f t="shared" ref="L48:L53" si="21">O48*0.0414</f>
        <v>7.9902000000000001E-2</v>
      </c>
      <c r="M48" s="6"/>
      <c r="N48" s="7">
        <f>ROUND((4.9+2*1.5)/5,2)</f>
        <v>1.58</v>
      </c>
      <c r="O48" s="7">
        <f>ROUND((1.285*1.5),2)</f>
        <v>1.93</v>
      </c>
      <c r="P48" s="7">
        <v>0.14000000000000001</v>
      </c>
      <c r="Q48" s="8"/>
      <c r="R48" s="7">
        <f>ROUND((0.8 +0.205 *1.5),2)</f>
        <v>1.1100000000000001</v>
      </c>
      <c r="S48" s="7">
        <f>ROUND((0.12 *1.5),2)</f>
        <v>0.18</v>
      </c>
      <c r="T48" s="7">
        <f>ROUND((21.07 +8.54 *1.5),2)</f>
        <v>33.880000000000003</v>
      </c>
      <c r="U48" s="8"/>
    </row>
    <row r="49" spans="1:21" ht="16.5" thickBot="1">
      <c r="A49" s="4"/>
      <c r="B49" s="4"/>
      <c r="C49" s="3" t="s">
        <v>161</v>
      </c>
      <c r="D49" s="9"/>
      <c r="E49" s="1">
        <f t="shared" si="17"/>
        <v>0</v>
      </c>
      <c r="F49" s="1">
        <f t="shared" si="18"/>
        <v>0.38540000000000008</v>
      </c>
      <c r="G49" s="1">
        <f t="shared" si="19"/>
        <v>1.1483800000000002</v>
      </c>
      <c r="H49" s="1">
        <f t="shared" si="20"/>
        <v>1.35975</v>
      </c>
      <c r="I49" s="5">
        <v>1</v>
      </c>
      <c r="J49" s="24">
        <f t="shared" si="5"/>
        <v>1006.10645</v>
      </c>
      <c r="K49" s="5">
        <v>1</v>
      </c>
      <c r="L49" s="1">
        <f t="shared" si="21"/>
        <v>0</v>
      </c>
      <c r="M49" s="6"/>
      <c r="N49" s="7">
        <f>N54/2</f>
        <v>1.075</v>
      </c>
      <c r="O49" s="7"/>
      <c r="P49" s="7">
        <f>P54</f>
        <v>0.14499999999999999</v>
      </c>
      <c r="Q49" s="8"/>
      <c r="R49" s="7">
        <f>R54</f>
        <v>1.08</v>
      </c>
      <c r="S49" s="7"/>
      <c r="T49" s="7"/>
      <c r="U49" s="8"/>
    </row>
    <row r="50" spans="1:21" ht="16.5" thickBot="1">
      <c r="A50" s="4"/>
      <c r="B50" s="4"/>
      <c r="C50" s="3" t="s">
        <v>162</v>
      </c>
      <c r="D50" s="9"/>
      <c r="E50" s="1">
        <f t="shared" si="17"/>
        <v>0</v>
      </c>
      <c r="F50" s="1">
        <f t="shared" si="18"/>
        <v>0.43490000000000006</v>
      </c>
      <c r="G50" s="1">
        <f t="shared" si="19"/>
        <v>1.28653</v>
      </c>
      <c r="H50" s="1">
        <f t="shared" si="20"/>
        <v>1.5262500000000001</v>
      </c>
      <c r="I50" s="5">
        <v>1</v>
      </c>
      <c r="J50" s="24">
        <f t="shared" si="5"/>
        <v>1075.58545</v>
      </c>
      <c r="K50" s="5">
        <v>1</v>
      </c>
      <c r="L50" s="1">
        <f t="shared" si="21"/>
        <v>0</v>
      </c>
      <c r="M50" s="6"/>
      <c r="N50" s="7">
        <f>N55/2</f>
        <v>1.325</v>
      </c>
      <c r="O50" s="7"/>
      <c r="P50" s="7">
        <f>P55</f>
        <v>0.14499999999999999</v>
      </c>
      <c r="Q50" s="8"/>
      <c r="R50" s="7">
        <f>R55</f>
        <v>1.23</v>
      </c>
      <c r="S50" s="7"/>
      <c r="T50" s="7"/>
      <c r="U50" s="8"/>
    </row>
    <row r="51" spans="1:21" ht="16.5" thickBot="1">
      <c r="A51" s="4"/>
      <c r="B51" s="4"/>
      <c r="C51" s="3" t="s">
        <v>163</v>
      </c>
      <c r="D51" s="9"/>
      <c r="E51" s="1">
        <f t="shared" si="17"/>
        <v>0</v>
      </c>
      <c r="F51" s="1">
        <f t="shared" si="18"/>
        <v>0.50749999999999995</v>
      </c>
      <c r="G51" s="1">
        <f t="shared" si="19"/>
        <v>1.48915</v>
      </c>
      <c r="H51" s="1">
        <f t="shared" si="20"/>
        <v>1.7704500000000001</v>
      </c>
      <c r="I51" s="5">
        <v>1</v>
      </c>
      <c r="J51" s="24">
        <f t="shared" si="5"/>
        <v>1178.0726500000001</v>
      </c>
      <c r="K51" s="5">
        <v>1</v>
      </c>
      <c r="L51" s="1">
        <f t="shared" si="21"/>
        <v>0</v>
      </c>
      <c r="M51" s="6"/>
      <c r="N51" s="7">
        <f>N56/2</f>
        <v>1.7</v>
      </c>
      <c r="O51" s="7">
        <f>(O50+O52)/2</f>
        <v>0</v>
      </c>
      <c r="P51" s="7">
        <f>P56</f>
        <v>0.14499999999999999</v>
      </c>
      <c r="Q51" s="8">
        <f>(Q50+Q52)/2</f>
        <v>0</v>
      </c>
      <c r="R51" s="7">
        <f>R56</f>
        <v>1.45</v>
      </c>
      <c r="S51" s="7">
        <f>(S50+S52)/2</f>
        <v>0</v>
      </c>
      <c r="T51" s="7"/>
      <c r="U51" s="8"/>
    </row>
    <row r="52" spans="1:21" ht="16.5" thickBot="1">
      <c r="A52" s="4"/>
      <c r="B52" s="4"/>
      <c r="C52" s="3" t="s">
        <v>164</v>
      </c>
      <c r="D52" s="9"/>
      <c r="E52" s="1">
        <f t="shared" si="17"/>
        <v>0</v>
      </c>
      <c r="F52" s="1">
        <f t="shared" si="18"/>
        <v>0.64450000000000007</v>
      </c>
      <c r="G52" s="1">
        <f t="shared" si="19"/>
        <v>1.8840500000000002</v>
      </c>
      <c r="H52" s="1">
        <f t="shared" si="20"/>
        <v>2.2422</v>
      </c>
      <c r="I52" s="5">
        <v>1</v>
      </c>
      <c r="J52" s="24">
        <f t="shared" si="5"/>
        <v>1337.9679000000001</v>
      </c>
      <c r="K52" s="5">
        <v>1</v>
      </c>
      <c r="L52" s="1">
        <f t="shared" si="21"/>
        <v>0</v>
      </c>
      <c r="M52" s="6"/>
      <c r="N52" s="7">
        <f>N57/2</f>
        <v>1.9</v>
      </c>
      <c r="O52" s="7"/>
      <c r="P52" s="7">
        <f>P57</f>
        <v>0.17</v>
      </c>
      <c r="Q52" s="8"/>
      <c r="R52" s="7">
        <f>R57</f>
        <v>1.85</v>
      </c>
      <c r="S52" s="7"/>
      <c r="T52" s="7"/>
      <c r="U52" s="8"/>
    </row>
    <row r="53" spans="1:21" ht="16.5" thickBot="1">
      <c r="A53" s="4"/>
      <c r="B53" s="4"/>
      <c r="C53" s="3" t="s">
        <v>165</v>
      </c>
      <c r="D53" s="9"/>
      <c r="E53" s="1">
        <f t="shared" si="17"/>
        <v>0</v>
      </c>
      <c r="F53" s="1">
        <f t="shared" si="18"/>
        <v>0.81040000000000001</v>
      </c>
      <c r="G53" s="1">
        <f t="shared" si="19"/>
        <v>2.3575999999999997</v>
      </c>
      <c r="H53" s="1">
        <f t="shared" si="20"/>
        <v>2.8094099999999997</v>
      </c>
      <c r="I53" s="5">
        <v>1</v>
      </c>
      <c r="J53" s="24">
        <f t="shared" si="5"/>
        <v>1527.1474699999999</v>
      </c>
      <c r="K53" s="5">
        <v>1</v>
      </c>
      <c r="L53" s="1">
        <f t="shared" si="21"/>
        <v>0</v>
      </c>
      <c r="M53" s="6"/>
      <c r="N53" s="7">
        <f>N58/2</f>
        <v>2.09</v>
      </c>
      <c r="O53" s="7"/>
      <c r="P53" s="7">
        <f>P58</f>
        <v>0.191</v>
      </c>
      <c r="Q53" s="8"/>
      <c r="R53" s="7">
        <f>R58</f>
        <v>2.34</v>
      </c>
      <c r="S53" s="7"/>
      <c r="T53" s="7"/>
      <c r="U53" s="8"/>
    </row>
    <row r="54" spans="1:21" ht="16.5" thickBot="1">
      <c r="A54" s="4"/>
      <c r="B54" s="4"/>
      <c r="C54" s="3" t="s">
        <v>166</v>
      </c>
      <c r="D54" s="9"/>
      <c r="E54" s="1">
        <f t="shared" si="16"/>
        <v>0</v>
      </c>
      <c r="F54" s="1">
        <f t="shared" si="3"/>
        <v>0.38540000000000008</v>
      </c>
      <c r="G54" s="1">
        <f t="shared" si="4"/>
        <v>1.1483800000000002</v>
      </c>
      <c r="H54" s="1">
        <f t="shared" si="1"/>
        <v>1.35975</v>
      </c>
      <c r="I54" s="5">
        <v>1</v>
      </c>
      <c r="J54" s="24">
        <f t="shared" si="5"/>
        <v>1958.6774500000001</v>
      </c>
      <c r="K54" s="5">
        <v>1</v>
      </c>
      <c r="L54" s="1">
        <f t="shared" si="2"/>
        <v>0</v>
      </c>
      <c r="M54" s="6"/>
      <c r="N54" s="7">
        <f>ROUND((3.59+10*0.5)/4,2)</f>
        <v>2.15</v>
      </c>
      <c r="O54" s="7"/>
      <c r="P54" s="7">
        <v>0.14499999999999999</v>
      </c>
      <c r="Q54" s="8"/>
      <c r="R54" s="7">
        <f>ROUND((0.704 +0.75 *0.5),2)</f>
        <v>1.08</v>
      </c>
      <c r="S54" s="7"/>
      <c r="T54" s="7">
        <f>R54*77.35</f>
        <v>83.537999999999997</v>
      </c>
      <c r="U54" s="8"/>
    </row>
    <row r="55" spans="1:21" ht="16.5" thickBot="1">
      <c r="A55" s="4"/>
      <c r="B55" s="4"/>
      <c r="C55" s="3" t="s">
        <v>167</v>
      </c>
      <c r="D55" s="9"/>
      <c r="E55" s="1">
        <f t="shared" si="16"/>
        <v>0</v>
      </c>
      <c r="F55" s="1">
        <f t="shared" si="3"/>
        <v>0.43490000000000006</v>
      </c>
      <c r="G55" s="1">
        <f t="shared" si="4"/>
        <v>1.28653</v>
      </c>
      <c r="H55" s="1">
        <f t="shared" si="1"/>
        <v>1.5262500000000001</v>
      </c>
      <c r="I55" s="5">
        <v>1</v>
      </c>
      <c r="J55" s="24">
        <f t="shared" si="5"/>
        <v>2167.5227</v>
      </c>
      <c r="K55" s="5">
        <v>1</v>
      </c>
      <c r="L55" s="1">
        <f t="shared" si="2"/>
        <v>0</v>
      </c>
      <c r="M55" s="6"/>
      <c r="N55" s="7">
        <f>ROUND((3.59+10*0.7)/4,2)</f>
        <v>2.65</v>
      </c>
      <c r="O55" s="7"/>
      <c r="P55" s="7">
        <v>0.14499999999999999</v>
      </c>
      <c r="Q55" s="8"/>
      <c r="R55" s="7">
        <f>ROUND((0.704 +0.75 *0.7),2)</f>
        <v>1.23</v>
      </c>
      <c r="S55" s="7"/>
      <c r="T55" s="7">
        <f t="shared" ref="T55:T60" si="22">R55*77.35</f>
        <v>95.140499999999989</v>
      </c>
      <c r="U55" s="8"/>
    </row>
    <row r="56" spans="1:21" ht="16.5" thickBot="1">
      <c r="A56" s="4"/>
      <c r="B56" s="4"/>
      <c r="C56" s="3" t="s">
        <v>168</v>
      </c>
      <c r="D56" s="9"/>
      <c r="E56" s="1">
        <f t="shared" si="16"/>
        <v>0</v>
      </c>
      <c r="F56" s="1">
        <f t="shared" si="3"/>
        <v>0.50749999999999995</v>
      </c>
      <c r="G56" s="1">
        <f t="shared" si="4"/>
        <v>1.48915</v>
      </c>
      <c r="H56" s="1">
        <f t="shared" si="1"/>
        <v>1.7704500000000001</v>
      </c>
      <c r="I56" s="5">
        <v>1</v>
      </c>
      <c r="J56" s="24">
        <f t="shared" si="5"/>
        <v>2474.9983999999999</v>
      </c>
      <c r="K56" s="5">
        <v>1</v>
      </c>
      <c r="L56" s="1">
        <f t="shared" si="2"/>
        <v>0</v>
      </c>
      <c r="M56" s="6"/>
      <c r="N56" s="7">
        <f>ROUND((3.59+10*1)/4,2)</f>
        <v>3.4</v>
      </c>
      <c r="O56" s="7">
        <f>(O55+O57)/2</f>
        <v>0</v>
      </c>
      <c r="P56" s="7">
        <v>0.14499999999999999</v>
      </c>
      <c r="Q56" s="8">
        <f>(Q55+Q57)/2</f>
        <v>0</v>
      </c>
      <c r="R56" s="7">
        <f>ROUND((0.704 +0.75 *1),2)</f>
        <v>1.45</v>
      </c>
      <c r="S56" s="7"/>
      <c r="T56" s="7">
        <f t="shared" si="22"/>
        <v>112.15749999999998</v>
      </c>
      <c r="U56" s="8"/>
    </row>
    <row r="57" spans="1:21" ht="16.5" thickBot="1">
      <c r="A57" s="4"/>
      <c r="B57" s="4"/>
      <c r="C57" s="3" t="s">
        <v>169</v>
      </c>
      <c r="D57" s="9"/>
      <c r="E57" s="1">
        <f t="shared" si="16"/>
        <v>0</v>
      </c>
      <c r="F57" s="1">
        <f t="shared" si="3"/>
        <v>0.64450000000000007</v>
      </c>
      <c r="G57" s="1">
        <f t="shared" si="4"/>
        <v>1.8840500000000002</v>
      </c>
      <c r="H57" s="1">
        <f t="shared" si="1"/>
        <v>2.2422</v>
      </c>
      <c r="I57" s="5">
        <v>1</v>
      </c>
      <c r="J57" s="24">
        <f t="shared" si="5"/>
        <v>2973.79565</v>
      </c>
      <c r="K57" s="5">
        <v>1</v>
      </c>
      <c r="L57" s="1">
        <f t="shared" si="2"/>
        <v>0</v>
      </c>
      <c r="M57" s="6"/>
      <c r="N57" s="7">
        <f>ROUND((4+11.2*1)/4,2)</f>
        <v>3.8</v>
      </c>
      <c r="O57" s="7"/>
      <c r="P57" s="7">
        <v>0.17</v>
      </c>
      <c r="Q57" s="8"/>
      <c r="R57" s="7">
        <f>ROUND((0.843 +0.84*1.2),2)</f>
        <v>1.85</v>
      </c>
      <c r="S57" s="7"/>
      <c r="T57" s="7">
        <f t="shared" si="22"/>
        <v>143.0975</v>
      </c>
      <c r="U57" s="8"/>
    </row>
    <row r="58" spans="1:21" ht="16.5" thickBot="1">
      <c r="A58" s="4"/>
      <c r="B58" s="4"/>
      <c r="C58" s="3" t="s">
        <v>170</v>
      </c>
      <c r="D58" s="9"/>
      <c r="E58" s="1">
        <f>O58*1.145</f>
        <v>0</v>
      </c>
      <c r="F58" s="1">
        <f>A58*0.231+M58*0.189+O58*0.0414+P58*0.2+Q58*0.27+R58*0.33+S58*0.005*0.434</f>
        <v>0.81040000000000001</v>
      </c>
      <c r="G58" s="1">
        <f>A58*0.6447+M58*0.672+O58*0.4158+P58*1.06+Q58*0.96+R58*0.921+S58*0.005*1.575</f>
        <v>2.3575999999999997</v>
      </c>
      <c r="H58" s="1">
        <f>A58*(0.777+0.45)+M58*(0.777+0.45)+P58*1.11+Q58*1.11+R58*1.11</f>
        <v>2.8094099999999997</v>
      </c>
      <c r="I58" s="5">
        <v>1</v>
      </c>
      <c r="J58" s="24">
        <f t="shared" si="5"/>
        <v>3574.2713699999995</v>
      </c>
      <c r="K58" s="5">
        <v>1</v>
      </c>
      <c r="L58" s="1">
        <f>O58*0.0414</f>
        <v>0</v>
      </c>
      <c r="M58" s="6"/>
      <c r="N58" s="7">
        <f>ROUND((4.53+12.2*1)/4,2)</f>
        <v>4.18</v>
      </c>
      <c r="O58" s="7"/>
      <c r="P58" s="7">
        <v>0.191</v>
      </c>
      <c r="Q58" s="8"/>
      <c r="R58" s="7">
        <f>ROUND((0.968 +0.915 *1.5),2)</f>
        <v>2.34</v>
      </c>
      <c r="S58" s="7"/>
      <c r="T58" s="7">
        <f t="shared" si="22"/>
        <v>180.99899999999997</v>
      </c>
      <c r="U58" s="8"/>
    </row>
    <row r="59" spans="1:21" ht="16.5" thickBot="1">
      <c r="A59" s="4"/>
      <c r="B59" s="4"/>
      <c r="C59" s="3" t="s">
        <v>171</v>
      </c>
      <c r="D59" s="9"/>
      <c r="E59" s="1">
        <f>O59*1.145</f>
        <v>0</v>
      </c>
      <c r="F59" s="1">
        <f>A59*0.231+M59*0.189+O59*0.0414+P59*0.2+Q59*0.27+R59*0.33+S59*0.005*0.434</f>
        <v>0.9019299999999999</v>
      </c>
      <c r="G59" s="1">
        <f>A59*0.6447+M59*0.672+O59*0.4158+P59*1.06+Q59*0.96+R59*0.921+S59*0.005*1.575</f>
        <v>2.6274289999999998</v>
      </c>
      <c r="H59" s="1">
        <f>A59*(0.777+0.45)+M59*(0.777+0.45)+P59*1.11+Q59*1.11+R59*1.11</f>
        <v>3.1298114999999997</v>
      </c>
      <c r="I59" s="5">
        <v>1</v>
      </c>
      <c r="J59" s="24">
        <f t="shared" si="5"/>
        <v>3916.4835927222216</v>
      </c>
      <c r="K59" s="5">
        <v>1</v>
      </c>
      <c r="L59" s="1">
        <f>O59*0.0414</f>
        <v>0</v>
      </c>
      <c r="M59" s="6"/>
      <c r="N59" s="7">
        <f>N58/1.8*2</f>
        <v>4.6444444444444439</v>
      </c>
      <c r="O59" s="7"/>
      <c r="P59" s="7">
        <f>P58*1.15</f>
        <v>0.21964999999999998</v>
      </c>
      <c r="Q59" s="8"/>
      <c r="R59" s="7">
        <f>R58/1.8*2</f>
        <v>2.5999999999999996</v>
      </c>
      <c r="S59" s="7"/>
      <c r="T59" s="7">
        <f t="shared" si="22"/>
        <v>201.10999999999996</v>
      </c>
      <c r="U59" s="8"/>
    </row>
    <row r="60" spans="1:21" ht="16.5" thickBot="1">
      <c r="A60" s="4"/>
      <c r="B60" s="4"/>
      <c r="C60" s="3" t="s">
        <v>172</v>
      </c>
      <c r="D60" s="9"/>
      <c r="E60" s="1">
        <f>O60*1.145</f>
        <v>0</v>
      </c>
      <c r="F60" s="1">
        <f>A60*0.231+M60*0.189+O60*0.0414+P60*0.2+Q60*0.27+R60*0.33+S60*0.005*0.434</f>
        <v>1.1230195000000001</v>
      </c>
      <c r="G60" s="1">
        <f>A60*0.6447+M60*0.672+O60*0.4158+P60*1.06+Q60*0.96+R60*0.921+S60*0.005*1.575</f>
        <v>3.2610033499999997</v>
      </c>
      <c r="H60" s="1">
        <f>A60*(0.777+0.45)+M60*(0.777+0.45)+P60*1.11+Q60*1.11+R60*1.11</f>
        <v>3.8878832249999999</v>
      </c>
      <c r="I60" s="5">
        <v>1</v>
      </c>
      <c r="J60" s="24">
        <f t="shared" si="5"/>
        <v>4760.6286538527775</v>
      </c>
      <c r="K60" s="5">
        <v>1</v>
      </c>
      <c r="L60" s="1">
        <f>O60*0.0414</f>
        <v>0</v>
      </c>
      <c r="M60" s="6"/>
      <c r="N60" s="7">
        <f>N59/2*2.5</f>
        <v>5.8055555555555554</v>
      </c>
      <c r="O60" s="7"/>
      <c r="P60" s="7">
        <f>P59*1.15</f>
        <v>0.25259749999999997</v>
      </c>
      <c r="Q60" s="8"/>
      <c r="R60" s="7">
        <f>R59/2*2.5</f>
        <v>3.2499999999999996</v>
      </c>
      <c r="S60" s="7"/>
      <c r="T60" s="7">
        <f t="shared" si="22"/>
        <v>251.38749999999996</v>
      </c>
      <c r="U60" s="8"/>
    </row>
    <row r="61" spans="1:21" ht="16.5" thickBot="1">
      <c r="A61" s="4"/>
      <c r="B61" s="4"/>
      <c r="C61" s="3" t="s">
        <v>533</v>
      </c>
      <c r="D61" s="9"/>
      <c r="E61" s="1">
        <f t="shared" si="16"/>
        <v>0</v>
      </c>
      <c r="F61" s="1">
        <f t="shared" si="3"/>
        <v>0.11253000000000002</v>
      </c>
      <c r="G61" s="1">
        <f t="shared" si="4"/>
        <v>0.31406100000000003</v>
      </c>
      <c r="H61" s="1">
        <f t="shared" si="1"/>
        <v>0.37851000000000007</v>
      </c>
      <c r="I61" s="5"/>
      <c r="J61" s="24">
        <f t="shared" si="5"/>
        <v>574.38945999999999</v>
      </c>
      <c r="K61" s="5"/>
      <c r="L61" s="1">
        <f t="shared" si="2"/>
        <v>0</v>
      </c>
      <c r="M61" s="6"/>
      <c r="N61" s="7">
        <f>2+1.56+0.72</f>
        <v>4.28</v>
      </c>
      <c r="O61" s="7"/>
      <c r="P61" s="7"/>
      <c r="Q61" s="8"/>
      <c r="R61" s="7">
        <f>0.1+0.16+0.081</f>
        <v>0.34100000000000003</v>
      </c>
      <c r="S61" s="7"/>
      <c r="T61" s="7">
        <f>1.32+4.11+4.74+1.69+3</f>
        <v>14.860000000000001</v>
      </c>
      <c r="U61" s="8"/>
    </row>
    <row r="62" spans="1:21" ht="16.5" thickBot="1">
      <c r="A62" s="4"/>
      <c r="B62" s="4"/>
      <c r="C62" s="3" t="s">
        <v>534</v>
      </c>
      <c r="D62" s="9"/>
      <c r="E62" s="1">
        <f t="shared" si="16"/>
        <v>0</v>
      </c>
      <c r="F62" s="1">
        <f t="shared" si="3"/>
        <v>0.12243000000000002</v>
      </c>
      <c r="G62" s="1">
        <f t="shared" si="4"/>
        <v>0.34169100000000008</v>
      </c>
      <c r="H62" s="1">
        <f t="shared" si="1"/>
        <v>0.41181000000000012</v>
      </c>
      <c r="I62" s="5"/>
      <c r="J62" s="24">
        <f t="shared" si="5"/>
        <v>635.66426000000001</v>
      </c>
      <c r="K62" s="5"/>
      <c r="L62" s="1">
        <f t="shared" si="2"/>
        <v>0</v>
      </c>
      <c r="M62" s="6"/>
      <c r="N62" s="7">
        <f>2+1.76+0.72</f>
        <v>4.4799999999999995</v>
      </c>
      <c r="O62" s="7"/>
      <c r="P62" s="7"/>
      <c r="Q62" s="8"/>
      <c r="R62" s="7">
        <f>0.1+0.19+0.081</f>
        <v>0.37100000000000005</v>
      </c>
      <c r="S62" s="7"/>
      <c r="T62" s="7">
        <f>1.32+4.11+7.42+2.52+3</f>
        <v>18.37</v>
      </c>
      <c r="U62" s="8"/>
    </row>
    <row r="63" spans="1:21" ht="16.5" thickBot="1">
      <c r="A63" s="4"/>
      <c r="B63" s="4"/>
      <c r="C63" s="3" t="s">
        <v>535</v>
      </c>
      <c r="D63" s="9"/>
      <c r="E63" s="1">
        <f t="shared" si="16"/>
        <v>0</v>
      </c>
      <c r="F63" s="1">
        <f t="shared" si="3"/>
        <v>0.13233</v>
      </c>
      <c r="G63" s="1">
        <f t="shared" si="4"/>
        <v>0.36932100000000001</v>
      </c>
      <c r="H63" s="1">
        <f t="shared" si="1"/>
        <v>0.44511000000000006</v>
      </c>
      <c r="I63" s="5"/>
      <c r="J63" s="24">
        <f t="shared" si="5"/>
        <v>706.70406000000003</v>
      </c>
      <c r="K63" s="5"/>
      <c r="L63" s="1">
        <f t="shared" si="2"/>
        <v>0</v>
      </c>
      <c r="M63" s="6"/>
      <c r="N63" s="7">
        <f>2+1.96+0.72</f>
        <v>4.68</v>
      </c>
      <c r="O63" s="7"/>
      <c r="P63" s="7"/>
      <c r="Q63" s="8"/>
      <c r="R63" s="7">
        <f>0.1+0.22+0.081</f>
        <v>0.40100000000000002</v>
      </c>
      <c r="S63" s="7"/>
      <c r="T63" s="7">
        <f>1.32+4.11+10.23+3.15+4</f>
        <v>22.81</v>
      </c>
      <c r="U63" s="8"/>
    </row>
    <row r="64" spans="1:21" ht="16.5" thickBot="1">
      <c r="A64" s="4"/>
      <c r="B64" s="4"/>
      <c r="C64" s="3" t="s">
        <v>536</v>
      </c>
      <c r="D64" s="9"/>
      <c r="E64" s="1">
        <f>O64*1.145</f>
        <v>0</v>
      </c>
      <c r="F64" s="1">
        <f t="shared" si="3"/>
        <v>0.49275000000000002</v>
      </c>
      <c r="G64" s="1">
        <f t="shared" si="4"/>
        <v>1.752</v>
      </c>
      <c r="H64" s="1">
        <f t="shared" si="1"/>
        <v>2.5747500000000003</v>
      </c>
      <c r="I64" s="5"/>
      <c r="J64" s="24">
        <f t="shared" si="5"/>
        <v>732.53303000000005</v>
      </c>
      <c r="K64" s="5"/>
      <c r="L64" s="1">
        <f>O64*0.0414</f>
        <v>0</v>
      </c>
      <c r="M64" s="6">
        <v>1.22</v>
      </c>
      <c r="N64" s="7">
        <f>7.413/3</f>
        <v>2.4710000000000001</v>
      </c>
      <c r="O64" s="7"/>
      <c r="P64" s="7"/>
      <c r="Q64" s="8">
        <v>0.97099999999999997</v>
      </c>
      <c r="R64" s="7"/>
      <c r="S64" s="7"/>
      <c r="T64" s="7"/>
      <c r="U64" s="8"/>
    </row>
    <row r="65" spans="1:21" ht="16.5" thickBot="1">
      <c r="A65" s="4"/>
      <c r="B65" s="4"/>
      <c r="C65" s="3" t="s">
        <v>537</v>
      </c>
      <c r="D65" s="9"/>
      <c r="E65" s="1">
        <f>O65*1.145</f>
        <v>0</v>
      </c>
      <c r="F65" s="1">
        <f t="shared" si="3"/>
        <v>0.60911999999999999</v>
      </c>
      <c r="G65" s="1">
        <f t="shared" si="4"/>
        <v>2.1657600000000001</v>
      </c>
      <c r="H65" s="1">
        <f t="shared" si="1"/>
        <v>3.1926600000000005</v>
      </c>
      <c r="I65" s="5"/>
      <c r="J65" s="24">
        <f t="shared" si="5"/>
        <v>881.21648333333337</v>
      </c>
      <c r="K65" s="5"/>
      <c r="L65" s="1">
        <f>O65*0.0414</f>
        <v>0</v>
      </c>
      <c r="M65" s="6">
        <v>1.53</v>
      </c>
      <c r="N65" s="7">
        <f>8.15/3</f>
        <v>2.7166666666666668</v>
      </c>
      <c r="O65" s="7"/>
      <c r="P65" s="7"/>
      <c r="Q65" s="8">
        <v>1.1850000000000001</v>
      </c>
      <c r="R65" s="7"/>
      <c r="S65" s="7"/>
      <c r="T65" s="7"/>
      <c r="U65" s="8"/>
    </row>
    <row r="66" spans="1:21" ht="16.5" thickBot="1">
      <c r="A66" s="4"/>
      <c r="B66" s="4"/>
      <c r="C66" s="3" t="s">
        <v>538</v>
      </c>
      <c r="D66" s="9"/>
      <c r="E66" s="1">
        <f>O66*1.145</f>
        <v>0</v>
      </c>
      <c r="F66" s="1">
        <f t="shared" si="3"/>
        <v>0.97713000000000005</v>
      </c>
      <c r="G66" s="1">
        <f t="shared" si="4"/>
        <v>3.47424</v>
      </c>
      <c r="H66" s="1">
        <f t="shared" si="1"/>
        <v>5.1555900000000001</v>
      </c>
      <c r="I66" s="5"/>
      <c r="J66" s="24">
        <f t="shared" si="5"/>
        <v>1363.9490599999999</v>
      </c>
      <c r="K66" s="5"/>
      <c r="L66" s="1">
        <f>O66*0.0414</f>
        <v>0</v>
      </c>
      <c r="M66" s="6">
        <v>2.5299999999999998</v>
      </c>
      <c r="N66" s="7">
        <f>11.04/3</f>
        <v>3.6799999999999997</v>
      </c>
      <c r="O66" s="7"/>
      <c r="P66" s="7"/>
      <c r="Q66" s="8">
        <v>1.8480000000000001</v>
      </c>
      <c r="R66" s="7"/>
      <c r="S66" s="7"/>
      <c r="T66" s="7"/>
      <c r="U66" s="8"/>
    </row>
    <row r="67" spans="1:21" ht="16.5" thickBot="1">
      <c r="A67" s="4"/>
      <c r="B67" s="4"/>
      <c r="C67" s="3" t="s">
        <v>175</v>
      </c>
      <c r="D67" s="9"/>
      <c r="E67" s="1">
        <f>O67*1.145</f>
        <v>0</v>
      </c>
      <c r="F67" s="1">
        <f t="shared" si="3"/>
        <v>1.41831</v>
      </c>
      <c r="G67" s="1">
        <f t="shared" si="4"/>
        <v>5.0428800000000003</v>
      </c>
      <c r="H67" s="1">
        <f>A67*(0.777+0.45)+M67*(0.777+0.45)+P67*1.11+Q67*1.11+R67*1.11</f>
        <v>7.4958299999999998</v>
      </c>
      <c r="I67" s="5"/>
      <c r="J67" s="24">
        <f t="shared" si="5"/>
        <v>1932.8307766666667</v>
      </c>
      <c r="K67" s="5"/>
      <c r="L67" s="1">
        <f>O67*0.0414</f>
        <v>0</v>
      </c>
      <c r="M67" s="6">
        <v>3.7</v>
      </c>
      <c r="N67" s="7">
        <f>14.05/3</f>
        <v>4.6833333333333336</v>
      </c>
      <c r="O67" s="7"/>
      <c r="P67" s="7"/>
      <c r="Q67" s="8">
        <v>2.6629999999999998</v>
      </c>
      <c r="R67" s="7"/>
      <c r="S67" s="7"/>
      <c r="T67" s="7"/>
      <c r="U67" s="8"/>
    </row>
    <row r="68" spans="1:21" ht="16.5" thickBot="1">
      <c r="A68" s="4"/>
      <c r="B68" s="4"/>
      <c r="C68" s="3" t="s">
        <v>176</v>
      </c>
      <c r="D68" s="9"/>
      <c r="E68" s="1">
        <f>O68*1.145</f>
        <v>0</v>
      </c>
      <c r="F68" s="1">
        <f>A68*0.231+M68*0.189+O68*0.0414+P68*0.2+Q68*0.27+R68*0.33+S68*0.005*0.434</f>
        <v>1.9296900000000001</v>
      </c>
      <c r="G68" s="1">
        <f>A68*0.6447+M68*0.672+O68*0.4158+P68*1.06+Q68*0.96+R68*0.921+S68*0.005*1.575</f>
        <v>6.8611199999999997</v>
      </c>
      <c r="H68" s="1">
        <f>A68*(0.777+0.45)+M68*(0.777+0.45)+P68*1.11+Q68*1.11+R68*1.11</f>
        <v>10.237170000000001</v>
      </c>
      <c r="I68" s="5"/>
      <c r="J68" s="24">
        <f t="shared" ref="J68:J69" si="23">A68*(22.38+11.73+227.47)+M68*(108.59+91.1+0)+N68*(54.83+15.33)+O68*(273.33)+P68*(163.14+131.23)+Q68*(163.14+161.83)+R68*(163.14+183.12)+S68*(145.44+169.54)*0.005+T68*(6.93+3.57)+U68*(131.67+62.31)+K68*338+I68*176.04</f>
        <v>2590.0153100000002</v>
      </c>
      <c r="K68" s="5"/>
      <c r="L68" s="1">
        <f>O68*0.0414</f>
        <v>0</v>
      </c>
      <c r="M68" s="6">
        <v>5.12</v>
      </c>
      <c r="N68" s="7">
        <f>17.52/3</f>
        <v>5.84</v>
      </c>
      <c r="O68" s="7"/>
      <c r="P68" s="7"/>
      <c r="Q68" s="8">
        <v>3.5630000000000002</v>
      </c>
      <c r="R68" s="7"/>
      <c r="S68" s="7"/>
      <c r="T68" s="7"/>
      <c r="U68" s="8"/>
    </row>
    <row r="69" spans="1:21" ht="16.5" thickBot="1">
      <c r="A69" s="4"/>
      <c r="B69" s="4"/>
      <c r="C69" s="3" t="s">
        <v>177</v>
      </c>
      <c r="D69" s="9"/>
      <c r="E69" s="1">
        <f t="shared" si="16"/>
        <v>0</v>
      </c>
      <c r="F69" s="1">
        <f>A69*0.231+M69*0.189+O69*0.0414+P69*0.2+Q69*0.27+R69*0.33+S69*0.005*0.434</f>
        <v>3.1984200000000005</v>
      </c>
      <c r="G69" s="1">
        <f>A69*0.6447+M69*0.672+O69*0.4158+P69*1.06+Q69*0.96+R69*0.921+S69*0.005*1.575</f>
        <v>11.372160000000001</v>
      </c>
      <c r="H69" s="1">
        <f>A69*(0.777+0.45)+M69*(0.777+0.45)+P69*1.11+Q69*1.11+R69*1.11</f>
        <v>17.086559999999999</v>
      </c>
      <c r="I69" s="5"/>
      <c r="J69" s="24">
        <f t="shared" si="23"/>
        <v>4156.0275366666665</v>
      </c>
      <c r="K69" s="5"/>
      <c r="L69" s="1">
        <f t="shared" si="2"/>
        <v>0</v>
      </c>
      <c r="M69" s="6">
        <v>8.75</v>
      </c>
      <c r="N69" s="7">
        <f>23.5/3</f>
        <v>7.833333333333333</v>
      </c>
      <c r="O69" s="7"/>
      <c r="P69" s="7"/>
      <c r="Q69" s="8">
        <v>5.7210000000000001</v>
      </c>
      <c r="R69" s="7"/>
      <c r="S69" s="7"/>
      <c r="T69" s="7"/>
      <c r="U69" s="8"/>
    </row>
    <row r="70" spans="1:21" ht="16.5" thickBot="1">
      <c r="A70" s="37"/>
      <c r="B70" s="37"/>
      <c r="C70" s="322" t="s">
        <v>549</v>
      </c>
      <c r="D70" s="38"/>
      <c r="E70" s="1">
        <f t="shared" si="16"/>
        <v>0</v>
      </c>
      <c r="F70" s="1">
        <f>A70*0.231+M70*0.189+O70*0.0414+P70*0.2+Q70*0.27+R70*0.33+S70*0.005*0.434</f>
        <v>0</v>
      </c>
      <c r="G70" s="1">
        <f>A70*0.6447+M70*0.672+O70*0.4158+P70*1.06+Q70*0.96+R70*0.921+S70*0.005*1.575</f>
        <v>0</v>
      </c>
      <c r="H70" s="1">
        <f>A70*(0.777+0.45)+M70*(0.777+0.45)+P70*1.11+Q70*1.11+R70*1.11</f>
        <v>0</v>
      </c>
      <c r="I70" s="39"/>
      <c r="J70" s="24">
        <f t="shared" ref="J70:J82" si="24">A70*(21.02+12.3+221.51)+M70*(101.98+93.19+0)+N70*(51.51+16.46)+O70*(261.67)+P70*(153.52+130.81)+Q70*(153.52+162.93)+R70*(153.52+185.15)+S70*(136.57+170.22)*0.005+T70*(6.52+3.56)+U70*(123.26+66.4)+K70*355+I70*196.25</f>
        <v>0</v>
      </c>
      <c r="K70" s="323"/>
      <c r="L70" s="1">
        <f t="shared" si="2"/>
        <v>0</v>
      </c>
      <c r="M70" s="324"/>
      <c r="N70" s="324"/>
      <c r="O70" s="325"/>
      <c r="P70" s="326"/>
      <c r="Q70" s="327"/>
      <c r="R70" s="324"/>
      <c r="S70" s="324"/>
      <c r="T70" s="324"/>
      <c r="U70" s="327"/>
    </row>
    <row r="71" spans="1:21" ht="16.5" thickBot="1">
      <c r="A71" s="37"/>
      <c r="B71" s="37"/>
      <c r="C71" s="322" t="s">
        <v>550</v>
      </c>
      <c r="D71" s="38"/>
      <c r="E71" s="1"/>
      <c r="F71" s="1">
        <f t="shared" ref="F71:F79" si="25">A71*0.231+M71*0.189+O71*0.0414+P71*0.2+Q71*0.27+R71*0.33+S71*0.005*0.434</f>
        <v>0</v>
      </c>
      <c r="G71" s="1">
        <f t="shared" ref="G71:G79" si="26">A71*0.6447+M71*0.672+O71*0.4158+P71*1.06+Q71*0.96+R71*0.921+S71*0.005*1.575</f>
        <v>0</v>
      </c>
      <c r="H71" s="1">
        <f t="shared" ref="H71:H79" si="27">A71*(0.777+0.45)+M71*(0.777+0.45)+P71*1.11+Q71*1.11+R71*1.11</f>
        <v>0</v>
      </c>
      <c r="I71" s="39"/>
      <c r="J71" s="24">
        <f t="shared" ref="J71:J79" si="28">A71*(21.02+12.3+221.51)+M71*(101.98+93.19+0)+N71*(51.51+16.46)+O71*(261.67)+P71*(153.52+130.81)+Q71*(153.52+162.93)+R71*(153.52+185.15)+S71*(136.57+170.22)*0.005+T71*(6.52+3.56)+U71*(123.26+66.4)+K71*355+I71*196.25</f>
        <v>0</v>
      </c>
      <c r="K71" s="323"/>
      <c r="L71" s="1">
        <f t="shared" ref="L71:L79" si="29">O71*0.0414</f>
        <v>0</v>
      </c>
      <c r="M71" s="324"/>
      <c r="N71" s="324"/>
      <c r="O71" s="325"/>
      <c r="P71" s="326"/>
      <c r="Q71" s="327"/>
      <c r="R71" s="324"/>
      <c r="S71" s="324"/>
      <c r="T71" s="324"/>
      <c r="U71" s="327"/>
    </row>
    <row r="72" spans="1:21" ht="16.5" thickBot="1">
      <c r="A72" s="37"/>
      <c r="B72" s="37"/>
      <c r="C72" s="322" t="s">
        <v>551</v>
      </c>
      <c r="D72" s="38"/>
      <c r="E72" s="1">
        <f t="shared" ref="E72:E79" si="30">O72*1.145</f>
        <v>0</v>
      </c>
      <c r="F72" s="1">
        <f t="shared" si="25"/>
        <v>0</v>
      </c>
      <c r="G72" s="1">
        <f t="shared" si="26"/>
        <v>0</v>
      </c>
      <c r="H72" s="1">
        <f t="shared" si="27"/>
        <v>0</v>
      </c>
      <c r="I72" s="39"/>
      <c r="J72" s="24">
        <f t="shared" si="28"/>
        <v>0</v>
      </c>
      <c r="K72" s="323"/>
      <c r="L72" s="1">
        <f t="shared" si="29"/>
        <v>0</v>
      </c>
      <c r="M72" s="324"/>
      <c r="N72" s="324"/>
      <c r="O72" s="325"/>
      <c r="P72" s="326"/>
      <c r="Q72" s="327"/>
      <c r="R72" s="324"/>
      <c r="S72" s="324"/>
      <c r="T72" s="324"/>
      <c r="U72" s="327"/>
    </row>
    <row r="73" spans="1:21" ht="16.5" thickBot="1">
      <c r="A73" s="37"/>
      <c r="B73" s="37"/>
      <c r="C73" s="322" t="s">
        <v>552</v>
      </c>
      <c r="D73" s="38"/>
      <c r="E73" s="1">
        <f t="shared" si="30"/>
        <v>0</v>
      </c>
      <c r="F73" s="1">
        <f t="shared" si="25"/>
        <v>0</v>
      </c>
      <c r="G73" s="1">
        <f t="shared" si="26"/>
        <v>0</v>
      </c>
      <c r="H73" s="1">
        <f t="shared" si="27"/>
        <v>0</v>
      </c>
      <c r="I73" s="39"/>
      <c r="J73" s="24">
        <f t="shared" si="28"/>
        <v>0</v>
      </c>
      <c r="K73" s="323"/>
      <c r="L73" s="1">
        <f t="shared" si="29"/>
        <v>0</v>
      </c>
      <c r="M73" s="324"/>
      <c r="N73" s="324"/>
      <c r="O73" s="325"/>
      <c r="P73" s="326"/>
      <c r="Q73" s="327"/>
      <c r="R73" s="324"/>
      <c r="S73" s="324"/>
      <c r="T73" s="324"/>
      <c r="U73" s="327"/>
    </row>
    <row r="74" spans="1:21" ht="16.5" thickBot="1">
      <c r="A74" s="37"/>
      <c r="B74" s="37"/>
      <c r="C74" s="322" t="s">
        <v>553</v>
      </c>
      <c r="D74" s="38"/>
      <c r="E74" s="1">
        <f t="shared" si="30"/>
        <v>0</v>
      </c>
      <c r="F74" s="1">
        <f t="shared" si="25"/>
        <v>0</v>
      </c>
      <c r="G74" s="1">
        <f t="shared" si="26"/>
        <v>0</v>
      </c>
      <c r="H74" s="1">
        <f t="shared" si="27"/>
        <v>0</v>
      </c>
      <c r="I74" s="39"/>
      <c r="J74" s="24">
        <f t="shared" si="28"/>
        <v>0</v>
      </c>
      <c r="K74" s="323"/>
      <c r="L74" s="1">
        <f t="shared" si="29"/>
        <v>0</v>
      </c>
      <c r="M74" s="324"/>
      <c r="N74" s="324"/>
      <c r="O74" s="325"/>
      <c r="P74" s="326"/>
      <c r="Q74" s="327"/>
      <c r="R74" s="324"/>
      <c r="S74" s="324"/>
      <c r="T74" s="324"/>
      <c r="U74" s="327"/>
    </row>
    <row r="75" spans="1:21" ht="16.5" thickBot="1">
      <c r="A75" s="37"/>
      <c r="B75" s="37"/>
      <c r="C75" s="322" t="s">
        <v>554</v>
      </c>
      <c r="D75" s="38"/>
      <c r="E75" s="1">
        <f t="shared" si="30"/>
        <v>0</v>
      </c>
      <c r="F75" s="1">
        <f t="shared" si="25"/>
        <v>0</v>
      </c>
      <c r="G75" s="1">
        <f t="shared" si="26"/>
        <v>0</v>
      </c>
      <c r="H75" s="1">
        <f t="shared" si="27"/>
        <v>0</v>
      </c>
      <c r="I75" s="39"/>
      <c r="J75" s="24">
        <f t="shared" si="28"/>
        <v>0</v>
      </c>
      <c r="K75" s="323"/>
      <c r="L75" s="1">
        <f t="shared" si="29"/>
        <v>0</v>
      </c>
      <c r="M75" s="324"/>
      <c r="N75" s="324"/>
      <c r="O75" s="325"/>
      <c r="P75" s="326"/>
      <c r="Q75" s="327"/>
      <c r="R75" s="324"/>
      <c r="S75" s="324"/>
      <c r="T75" s="324"/>
      <c r="U75" s="327"/>
    </row>
    <row r="76" spans="1:21" ht="16.5" thickBot="1">
      <c r="A76" s="37"/>
      <c r="B76" s="37"/>
      <c r="C76" s="322" t="s">
        <v>555</v>
      </c>
      <c r="D76" s="38"/>
      <c r="E76" s="1">
        <f t="shared" si="30"/>
        <v>0</v>
      </c>
      <c r="F76" s="1">
        <f t="shared" si="25"/>
        <v>0</v>
      </c>
      <c r="G76" s="1">
        <f t="shared" si="26"/>
        <v>0</v>
      </c>
      <c r="H76" s="1">
        <f t="shared" si="27"/>
        <v>0</v>
      </c>
      <c r="I76" s="39"/>
      <c r="J76" s="24">
        <f t="shared" si="28"/>
        <v>0</v>
      </c>
      <c r="K76" s="323"/>
      <c r="L76" s="1">
        <f t="shared" si="29"/>
        <v>0</v>
      </c>
      <c r="M76" s="324"/>
      <c r="N76" s="324"/>
      <c r="O76" s="325"/>
      <c r="P76" s="326"/>
      <c r="Q76" s="327"/>
      <c r="R76" s="324"/>
      <c r="S76" s="324"/>
      <c r="T76" s="324"/>
      <c r="U76" s="327"/>
    </row>
    <row r="77" spans="1:21" ht="16.5" thickBot="1">
      <c r="A77" s="37"/>
      <c r="B77" s="37"/>
      <c r="C77" s="322" t="s">
        <v>556</v>
      </c>
      <c r="D77" s="38"/>
      <c r="E77" s="1">
        <f t="shared" si="30"/>
        <v>0</v>
      </c>
      <c r="F77" s="1">
        <f t="shared" si="25"/>
        <v>0</v>
      </c>
      <c r="G77" s="1">
        <f t="shared" si="26"/>
        <v>0</v>
      </c>
      <c r="H77" s="1">
        <f t="shared" si="27"/>
        <v>0</v>
      </c>
      <c r="I77" s="39"/>
      <c r="J77" s="24">
        <f t="shared" si="28"/>
        <v>0</v>
      </c>
      <c r="K77" s="323"/>
      <c r="L77" s="1">
        <f t="shared" si="29"/>
        <v>0</v>
      </c>
      <c r="M77" s="324"/>
      <c r="N77" s="324"/>
      <c r="O77" s="325"/>
      <c r="P77" s="326"/>
      <c r="Q77" s="327"/>
      <c r="R77" s="324"/>
      <c r="S77" s="324"/>
      <c r="T77" s="324"/>
      <c r="U77" s="327"/>
    </row>
    <row r="78" spans="1:21" ht="16.5" thickBot="1">
      <c r="A78" s="37"/>
      <c r="B78" s="37"/>
      <c r="C78" s="322" t="s">
        <v>557</v>
      </c>
      <c r="D78" s="38"/>
      <c r="E78" s="1">
        <f t="shared" si="30"/>
        <v>0</v>
      </c>
      <c r="F78" s="1">
        <f t="shared" si="25"/>
        <v>0</v>
      </c>
      <c r="G78" s="1">
        <f t="shared" si="26"/>
        <v>0</v>
      </c>
      <c r="H78" s="1">
        <f t="shared" si="27"/>
        <v>0</v>
      </c>
      <c r="I78" s="39"/>
      <c r="J78" s="24">
        <f t="shared" si="28"/>
        <v>0</v>
      </c>
      <c r="K78" s="323"/>
      <c r="L78" s="1">
        <f t="shared" si="29"/>
        <v>0</v>
      </c>
      <c r="M78" s="324"/>
      <c r="N78" s="324"/>
      <c r="O78" s="325"/>
      <c r="P78" s="326"/>
      <c r="Q78" s="327"/>
      <c r="R78" s="324"/>
      <c r="S78" s="324"/>
      <c r="T78" s="324"/>
      <c r="U78" s="327"/>
    </row>
    <row r="79" spans="1:21" ht="16.5" thickBot="1">
      <c r="A79" s="37"/>
      <c r="B79" s="37"/>
      <c r="C79" s="322" t="s">
        <v>558</v>
      </c>
      <c r="D79" s="38"/>
      <c r="E79" s="1">
        <f t="shared" si="30"/>
        <v>0</v>
      </c>
      <c r="F79" s="1">
        <f t="shared" si="25"/>
        <v>0</v>
      </c>
      <c r="G79" s="1">
        <f t="shared" si="26"/>
        <v>0</v>
      </c>
      <c r="H79" s="1">
        <f t="shared" si="27"/>
        <v>0</v>
      </c>
      <c r="I79" s="39"/>
      <c r="J79" s="24">
        <f t="shared" si="28"/>
        <v>0</v>
      </c>
      <c r="K79" s="323"/>
      <c r="L79" s="1">
        <f t="shared" si="29"/>
        <v>0</v>
      </c>
      <c r="M79" s="324"/>
      <c r="N79" s="324"/>
      <c r="O79" s="325"/>
      <c r="P79" s="326"/>
      <c r="Q79" s="327"/>
      <c r="R79" s="324"/>
      <c r="S79" s="324"/>
      <c r="T79" s="324"/>
      <c r="U79" s="327"/>
    </row>
    <row r="80" spans="1:21" ht="15" customHeight="1" thickBot="1">
      <c r="A80" s="37"/>
      <c r="B80" s="37"/>
      <c r="C80" s="322"/>
      <c r="D80" s="26"/>
      <c r="E80" s="1">
        <v>0</v>
      </c>
      <c r="F80" s="1">
        <v>0</v>
      </c>
      <c r="G80" s="1">
        <f>M80*0.6541+O80*0.4158+P80*0.846+Q80*0.9345+R80*1.0785+S80*0.005*1.575</f>
        <v>0</v>
      </c>
      <c r="H80" s="1">
        <f>M80*(0.819+0.525)+P80*1.323+Q80*1.17+R80*1.0125</f>
        <v>0</v>
      </c>
      <c r="I80" s="39"/>
      <c r="J80" s="24">
        <f t="shared" si="24"/>
        <v>0</v>
      </c>
      <c r="K80" s="323"/>
      <c r="L80" s="1">
        <f t="shared" si="2"/>
        <v>0</v>
      </c>
      <c r="M80" s="324"/>
      <c r="N80" s="328"/>
      <c r="O80" s="328"/>
      <c r="P80" s="326"/>
      <c r="Q80" s="326"/>
      <c r="R80" s="326"/>
      <c r="S80" s="326"/>
      <c r="T80" s="326"/>
      <c r="U80" s="326"/>
    </row>
    <row r="81" spans="1:21" ht="15" customHeight="1" thickBot="1">
      <c r="A81" s="37"/>
      <c r="B81" s="37"/>
      <c r="C81" s="322"/>
      <c r="D81" s="26"/>
      <c r="E81" s="1">
        <v>0</v>
      </c>
      <c r="F81" s="1">
        <v>0</v>
      </c>
      <c r="G81" s="1">
        <f>M81*0.6541+O81*0.4158+P81*0.846+Q81*0.9345+R81*1.0785+S81*0.005*1.575</f>
        <v>0</v>
      </c>
      <c r="H81" s="1">
        <f>M81*(0.819+0.525)+P81*1.323+Q81*1.17+R81*1.0125</f>
        <v>0</v>
      </c>
      <c r="I81" s="39"/>
      <c r="J81" s="24">
        <f t="shared" si="24"/>
        <v>0</v>
      </c>
      <c r="K81" s="323"/>
      <c r="L81" s="1">
        <f t="shared" si="2"/>
        <v>0</v>
      </c>
      <c r="M81" s="324"/>
      <c r="N81" s="328"/>
      <c r="O81" s="328"/>
      <c r="P81" s="326"/>
      <c r="Q81" s="326"/>
      <c r="R81" s="326"/>
      <c r="S81" s="326"/>
      <c r="T81" s="326"/>
      <c r="U81" s="326"/>
    </row>
    <row r="82" spans="1:21" ht="15" customHeight="1" thickBot="1">
      <c r="A82" s="37"/>
      <c r="B82" s="37"/>
      <c r="C82" s="322"/>
      <c r="D82" s="26"/>
      <c r="E82" s="1">
        <v>0</v>
      </c>
      <c r="F82" s="1">
        <v>0</v>
      </c>
      <c r="G82" s="1">
        <f>M82*0.6541+O82*0.4158+P82*0.846+Q82*0.9345+R82*1.0785+S82*0.005*1.575</f>
        <v>0</v>
      </c>
      <c r="H82" s="1">
        <f>M82*(0.819+0.525)+P82*1.323+Q82*1.17+R82*1.0125</f>
        <v>0</v>
      </c>
      <c r="I82" s="39"/>
      <c r="J82" s="24">
        <f t="shared" si="24"/>
        <v>0</v>
      </c>
      <c r="K82" s="323"/>
      <c r="L82" s="1">
        <f t="shared" si="2"/>
        <v>0</v>
      </c>
      <c r="M82" s="324"/>
      <c r="N82" s="328"/>
      <c r="O82" s="328"/>
      <c r="P82" s="326"/>
      <c r="Q82" s="326"/>
      <c r="R82" s="326"/>
      <c r="S82" s="326"/>
      <c r="T82" s="326"/>
      <c r="U82" s="326"/>
    </row>
    <row r="83" spans="1:21" ht="19.5" customHeight="1">
      <c r="A83" s="4"/>
      <c r="B83" s="4"/>
      <c r="C83" s="27"/>
      <c r="D83" s="27"/>
      <c r="E83" s="28"/>
      <c r="F83" s="28"/>
      <c r="G83" s="29"/>
      <c r="H83" s="29"/>
      <c r="I83" s="29"/>
      <c r="J83" s="6"/>
      <c r="K83" s="29" t="s">
        <v>79</v>
      </c>
      <c r="L83" s="29" t="s">
        <v>80</v>
      </c>
      <c r="M83" s="29" t="s">
        <v>81</v>
      </c>
      <c r="N83" s="29" t="s">
        <v>82</v>
      </c>
      <c r="O83" s="29" t="s">
        <v>83</v>
      </c>
      <c r="P83" s="29" t="s">
        <v>84</v>
      </c>
      <c r="Q83" s="29" t="s">
        <v>85</v>
      </c>
      <c r="R83" s="29" t="s">
        <v>86</v>
      </c>
      <c r="S83" s="29" t="s">
        <v>87</v>
      </c>
      <c r="T83" s="29" t="s">
        <v>88</v>
      </c>
      <c r="U83" s="30"/>
    </row>
    <row r="84" spans="1:21" ht="15">
      <c r="A84" s="31"/>
      <c r="B84" s="31"/>
      <c r="C84" s="32"/>
      <c r="D84" s="32"/>
      <c r="E84" s="32"/>
      <c r="F84" s="33"/>
      <c r="G84" s="32"/>
      <c r="H84" s="32"/>
      <c r="I84" s="32"/>
      <c r="J84" s="34"/>
      <c r="K84" s="35"/>
      <c r="L84" s="32"/>
      <c r="M84" s="33"/>
      <c r="N84" s="32"/>
      <c r="O84" s="32"/>
      <c r="P84" s="32"/>
      <c r="Q84" s="32"/>
      <c r="R84" s="32"/>
      <c r="S84" s="32"/>
      <c r="T84" s="32"/>
      <c r="U84" s="30"/>
    </row>
  </sheetData>
  <phoneticPr fontId="0" type="noConversion"/>
  <printOptions horizontalCentered="1" verticalCentered="1" gridLines="1" gridLinesSet="0"/>
  <pageMargins left="0.78740157480314965" right="0.6692913385826772" top="1.1811023622047245" bottom="0.98425196850393704" header="0.70866141732283472" footer="0.51181102362204722"/>
  <pageSetup paperSize="9" scale="10" orientation="landscape" horizontalDpi="4294967292" verticalDpi="180" r:id="rId1"/>
  <headerFooter alignWithMargins="0">
    <oddHeader>&amp;C&amp;"Arial,Negrito"&amp;14&amp;A</oddHeader>
    <oddFooter>&amp;C&amp;"Arial,Negrito"&amp;14&amp;F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Normal="100" workbookViewId="0">
      <selection activeCell="B29" sqref="B29"/>
    </sheetView>
  </sheetViews>
  <sheetFormatPr defaultColWidth="14.6640625" defaultRowHeight="12.75"/>
  <cols>
    <col min="1" max="1" width="53.5" style="336" customWidth="1"/>
    <col min="2" max="2" width="31.5" style="336" customWidth="1"/>
    <col min="3" max="3" width="14" style="336" customWidth="1"/>
    <col min="4" max="257" width="14.6640625" style="334"/>
    <col min="258" max="258" width="47.6640625" style="334" customWidth="1"/>
    <col min="259" max="259" width="43.83203125" style="334" customWidth="1"/>
    <col min="260" max="513" width="14.6640625" style="334"/>
    <col min="514" max="514" width="47.6640625" style="334" customWidth="1"/>
    <col min="515" max="515" width="43.83203125" style="334" customWidth="1"/>
    <col min="516" max="769" width="14.6640625" style="334"/>
    <col min="770" max="770" width="47.6640625" style="334" customWidth="1"/>
    <col min="771" max="771" width="43.83203125" style="334" customWidth="1"/>
    <col min="772" max="1025" width="14.6640625" style="334"/>
    <col min="1026" max="1026" width="47.6640625" style="334" customWidth="1"/>
    <col min="1027" max="1027" width="43.83203125" style="334" customWidth="1"/>
    <col min="1028" max="1281" width="14.6640625" style="334"/>
    <col min="1282" max="1282" width="47.6640625" style="334" customWidth="1"/>
    <col min="1283" max="1283" width="43.83203125" style="334" customWidth="1"/>
    <col min="1284" max="1537" width="14.6640625" style="334"/>
    <col min="1538" max="1538" width="47.6640625" style="334" customWidth="1"/>
    <col min="1539" max="1539" width="43.83203125" style="334" customWidth="1"/>
    <col min="1540" max="1793" width="14.6640625" style="334"/>
    <col min="1794" max="1794" width="47.6640625" style="334" customWidth="1"/>
    <col min="1795" max="1795" width="43.83203125" style="334" customWidth="1"/>
    <col min="1796" max="2049" width="14.6640625" style="334"/>
    <col min="2050" max="2050" width="47.6640625" style="334" customWidth="1"/>
    <col min="2051" max="2051" width="43.83203125" style="334" customWidth="1"/>
    <col min="2052" max="2305" width="14.6640625" style="334"/>
    <col min="2306" max="2306" width="47.6640625" style="334" customWidth="1"/>
    <col min="2307" max="2307" width="43.83203125" style="334" customWidth="1"/>
    <col min="2308" max="2561" width="14.6640625" style="334"/>
    <col min="2562" max="2562" width="47.6640625" style="334" customWidth="1"/>
    <col min="2563" max="2563" width="43.83203125" style="334" customWidth="1"/>
    <col min="2564" max="2817" width="14.6640625" style="334"/>
    <col min="2818" max="2818" width="47.6640625" style="334" customWidth="1"/>
    <col min="2819" max="2819" width="43.83203125" style="334" customWidth="1"/>
    <col min="2820" max="3073" width="14.6640625" style="334"/>
    <col min="3074" max="3074" width="47.6640625" style="334" customWidth="1"/>
    <col min="3075" max="3075" width="43.83203125" style="334" customWidth="1"/>
    <col min="3076" max="3329" width="14.6640625" style="334"/>
    <col min="3330" max="3330" width="47.6640625" style="334" customWidth="1"/>
    <col min="3331" max="3331" width="43.83203125" style="334" customWidth="1"/>
    <col min="3332" max="3585" width="14.6640625" style="334"/>
    <col min="3586" max="3586" width="47.6640625" style="334" customWidth="1"/>
    <col min="3587" max="3587" width="43.83203125" style="334" customWidth="1"/>
    <col min="3588" max="3841" width="14.6640625" style="334"/>
    <col min="3842" max="3842" width="47.6640625" style="334" customWidth="1"/>
    <col min="3843" max="3843" width="43.83203125" style="334" customWidth="1"/>
    <col min="3844" max="4097" width="14.6640625" style="334"/>
    <col min="4098" max="4098" width="47.6640625" style="334" customWidth="1"/>
    <col min="4099" max="4099" width="43.83203125" style="334" customWidth="1"/>
    <col min="4100" max="4353" width="14.6640625" style="334"/>
    <col min="4354" max="4354" width="47.6640625" style="334" customWidth="1"/>
    <col min="4355" max="4355" width="43.83203125" style="334" customWidth="1"/>
    <col min="4356" max="4609" width="14.6640625" style="334"/>
    <col min="4610" max="4610" width="47.6640625" style="334" customWidth="1"/>
    <col min="4611" max="4611" width="43.83203125" style="334" customWidth="1"/>
    <col min="4612" max="4865" width="14.6640625" style="334"/>
    <col min="4866" max="4866" width="47.6640625" style="334" customWidth="1"/>
    <col min="4867" max="4867" width="43.83203125" style="334" customWidth="1"/>
    <col min="4868" max="5121" width="14.6640625" style="334"/>
    <col min="5122" max="5122" width="47.6640625" style="334" customWidth="1"/>
    <col min="5123" max="5123" width="43.83203125" style="334" customWidth="1"/>
    <col min="5124" max="5377" width="14.6640625" style="334"/>
    <col min="5378" max="5378" width="47.6640625" style="334" customWidth="1"/>
    <col min="5379" max="5379" width="43.83203125" style="334" customWidth="1"/>
    <col min="5380" max="5633" width="14.6640625" style="334"/>
    <col min="5634" max="5634" width="47.6640625" style="334" customWidth="1"/>
    <col min="5635" max="5635" width="43.83203125" style="334" customWidth="1"/>
    <col min="5636" max="5889" width="14.6640625" style="334"/>
    <col min="5890" max="5890" width="47.6640625" style="334" customWidth="1"/>
    <col min="5891" max="5891" width="43.83203125" style="334" customWidth="1"/>
    <col min="5892" max="6145" width="14.6640625" style="334"/>
    <col min="6146" max="6146" width="47.6640625" style="334" customWidth="1"/>
    <col min="6147" max="6147" width="43.83203125" style="334" customWidth="1"/>
    <col min="6148" max="6401" width="14.6640625" style="334"/>
    <col min="6402" max="6402" width="47.6640625" style="334" customWidth="1"/>
    <col min="6403" max="6403" width="43.83203125" style="334" customWidth="1"/>
    <col min="6404" max="6657" width="14.6640625" style="334"/>
    <col min="6658" max="6658" width="47.6640625" style="334" customWidth="1"/>
    <col min="6659" max="6659" width="43.83203125" style="334" customWidth="1"/>
    <col min="6660" max="6913" width="14.6640625" style="334"/>
    <col min="6914" max="6914" width="47.6640625" style="334" customWidth="1"/>
    <col min="6915" max="6915" width="43.83203125" style="334" customWidth="1"/>
    <col min="6916" max="7169" width="14.6640625" style="334"/>
    <col min="7170" max="7170" width="47.6640625" style="334" customWidth="1"/>
    <col min="7171" max="7171" width="43.83203125" style="334" customWidth="1"/>
    <col min="7172" max="7425" width="14.6640625" style="334"/>
    <col min="7426" max="7426" width="47.6640625" style="334" customWidth="1"/>
    <col min="7427" max="7427" width="43.83203125" style="334" customWidth="1"/>
    <col min="7428" max="7681" width="14.6640625" style="334"/>
    <col min="7682" max="7682" width="47.6640625" style="334" customWidth="1"/>
    <col min="7683" max="7683" width="43.83203125" style="334" customWidth="1"/>
    <col min="7684" max="7937" width="14.6640625" style="334"/>
    <col min="7938" max="7938" width="47.6640625" style="334" customWidth="1"/>
    <col min="7939" max="7939" width="43.83203125" style="334" customWidth="1"/>
    <col min="7940" max="8193" width="14.6640625" style="334"/>
    <col min="8194" max="8194" width="47.6640625" style="334" customWidth="1"/>
    <col min="8195" max="8195" width="43.83203125" style="334" customWidth="1"/>
    <col min="8196" max="8449" width="14.6640625" style="334"/>
    <col min="8450" max="8450" width="47.6640625" style="334" customWidth="1"/>
    <col min="8451" max="8451" width="43.83203125" style="334" customWidth="1"/>
    <col min="8452" max="8705" width="14.6640625" style="334"/>
    <col min="8706" max="8706" width="47.6640625" style="334" customWidth="1"/>
    <col min="8707" max="8707" width="43.83203125" style="334" customWidth="1"/>
    <col min="8708" max="8961" width="14.6640625" style="334"/>
    <col min="8962" max="8962" width="47.6640625" style="334" customWidth="1"/>
    <col min="8963" max="8963" width="43.83203125" style="334" customWidth="1"/>
    <col min="8964" max="9217" width="14.6640625" style="334"/>
    <col min="9218" max="9218" width="47.6640625" style="334" customWidth="1"/>
    <col min="9219" max="9219" width="43.83203125" style="334" customWidth="1"/>
    <col min="9220" max="9473" width="14.6640625" style="334"/>
    <col min="9474" max="9474" width="47.6640625" style="334" customWidth="1"/>
    <col min="9475" max="9475" width="43.83203125" style="334" customWidth="1"/>
    <col min="9476" max="9729" width="14.6640625" style="334"/>
    <col min="9730" max="9730" width="47.6640625" style="334" customWidth="1"/>
    <col min="9731" max="9731" width="43.83203125" style="334" customWidth="1"/>
    <col min="9732" max="9985" width="14.6640625" style="334"/>
    <col min="9986" max="9986" width="47.6640625" style="334" customWidth="1"/>
    <col min="9987" max="9987" width="43.83203125" style="334" customWidth="1"/>
    <col min="9988" max="10241" width="14.6640625" style="334"/>
    <col min="10242" max="10242" width="47.6640625" style="334" customWidth="1"/>
    <col min="10243" max="10243" width="43.83203125" style="334" customWidth="1"/>
    <col min="10244" max="10497" width="14.6640625" style="334"/>
    <col min="10498" max="10498" width="47.6640625" style="334" customWidth="1"/>
    <col min="10499" max="10499" width="43.83203125" style="334" customWidth="1"/>
    <col min="10500" max="10753" width="14.6640625" style="334"/>
    <col min="10754" max="10754" width="47.6640625" style="334" customWidth="1"/>
    <col min="10755" max="10755" width="43.83203125" style="334" customWidth="1"/>
    <col min="10756" max="11009" width="14.6640625" style="334"/>
    <col min="11010" max="11010" width="47.6640625" style="334" customWidth="1"/>
    <col min="11011" max="11011" width="43.83203125" style="334" customWidth="1"/>
    <col min="11012" max="11265" width="14.6640625" style="334"/>
    <col min="11266" max="11266" width="47.6640625" style="334" customWidth="1"/>
    <col min="11267" max="11267" width="43.83203125" style="334" customWidth="1"/>
    <col min="11268" max="11521" width="14.6640625" style="334"/>
    <col min="11522" max="11522" width="47.6640625" style="334" customWidth="1"/>
    <col min="11523" max="11523" width="43.83203125" style="334" customWidth="1"/>
    <col min="11524" max="11777" width="14.6640625" style="334"/>
    <col min="11778" max="11778" width="47.6640625" style="334" customWidth="1"/>
    <col min="11779" max="11779" width="43.83203125" style="334" customWidth="1"/>
    <col min="11780" max="12033" width="14.6640625" style="334"/>
    <col min="12034" max="12034" width="47.6640625" style="334" customWidth="1"/>
    <col min="12035" max="12035" width="43.83203125" style="334" customWidth="1"/>
    <col min="12036" max="12289" width="14.6640625" style="334"/>
    <col min="12290" max="12290" width="47.6640625" style="334" customWidth="1"/>
    <col min="12291" max="12291" width="43.83203125" style="334" customWidth="1"/>
    <col min="12292" max="12545" width="14.6640625" style="334"/>
    <col min="12546" max="12546" width="47.6640625" style="334" customWidth="1"/>
    <col min="12547" max="12547" width="43.83203125" style="334" customWidth="1"/>
    <col min="12548" max="12801" width="14.6640625" style="334"/>
    <col min="12802" max="12802" width="47.6640625" style="334" customWidth="1"/>
    <col min="12803" max="12803" width="43.83203125" style="334" customWidth="1"/>
    <col min="12804" max="13057" width="14.6640625" style="334"/>
    <col min="13058" max="13058" width="47.6640625" style="334" customWidth="1"/>
    <col min="13059" max="13059" width="43.83203125" style="334" customWidth="1"/>
    <col min="13060" max="13313" width="14.6640625" style="334"/>
    <col min="13314" max="13314" width="47.6640625" style="334" customWidth="1"/>
    <col min="13315" max="13315" width="43.83203125" style="334" customWidth="1"/>
    <col min="13316" max="13569" width="14.6640625" style="334"/>
    <col min="13570" max="13570" width="47.6640625" style="334" customWidth="1"/>
    <col min="13571" max="13571" width="43.83203125" style="334" customWidth="1"/>
    <col min="13572" max="13825" width="14.6640625" style="334"/>
    <col min="13826" max="13826" width="47.6640625" style="334" customWidth="1"/>
    <col min="13827" max="13827" width="43.83203125" style="334" customWidth="1"/>
    <col min="13828" max="14081" width="14.6640625" style="334"/>
    <col min="14082" max="14082" width="47.6640625" style="334" customWidth="1"/>
    <col min="14083" max="14083" width="43.83203125" style="334" customWidth="1"/>
    <col min="14084" max="14337" width="14.6640625" style="334"/>
    <col min="14338" max="14338" width="47.6640625" style="334" customWidth="1"/>
    <col min="14339" max="14339" width="43.83203125" style="334" customWidth="1"/>
    <col min="14340" max="14593" width="14.6640625" style="334"/>
    <col min="14594" max="14594" width="47.6640625" style="334" customWidth="1"/>
    <col min="14595" max="14595" width="43.83203125" style="334" customWidth="1"/>
    <col min="14596" max="14849" width="14.6640625" style="334"/>
    <col min="14850" max="14850" width="47.6640625" style="334" customWidth="1"/>
    <col min="14851" max="14851" width="43.83203125" style="334" customWidth="1"/>
    <col min="14852" max="15105" width="14.6640625" style="334"/>
    <col min="15106" max="15106" width="47.6640625" style="334" customWidth="1"/>
    <col min="15107" max="15107" width="43.83203125" style="334" customWidth="1"/>
    <col min="15108" max="15361" width="14.6640625" style="334"/>
    <col min="15362" max="15362" width="47.6640625" style="334" customWidth="1"/>
    <col min="15363" max="15363" width="43.83203125" style="334" customWidth="1"/>
    <col min="15364" max="15617" width="14.6640625" style="334"/>
    <col min="15618" max="15618" width="47.6640625" style="334" customWidth="1"/>
    <col min="15619" max="15619" width="43.83203125" style="334" customWidth="1"/>
    <col min="15620" max="15873" width="14.6640625" style="334"/>
    <col min="15874" max="15874" width="47.6640625" style="334" customWidth="1"/>
    <col min="15875" max="15875" width="43.83203125" style="334" customWidth="1"/>
    <col min="15876" max="16129" width="14.6640625" style="334"/>
    <col min="16130" max="16130" width="47.6640625" style="334" customWidth="1"/>
    <col min="16131" max="16131" width="43.83203125" style="334" customWidth="1"/>
    <col min="16132" max="16384" width="14.6640625" style="334"/>
  </cols>
  <sheetData>
    <row r="1" spans="1:6" ht="18.75" thickBot="1">
      <c r="A1" s="418" t="s">
        <v>660</v>
      </c>
      <c r="B1" s="419"/>
      <c r="C1" s="419"/>
    </row>
    <row r="2" spans="1:6" ht="18.75" thickBot="1">
      <c r="A2" s="603" t="s">
        <v>656</v>
      </c>
      <c r="B2" s="420" t="s">
        <v>1050</v>
      </c>
      <c r="C2" s="461">
        <v>0.9</v>
      </c>
      <c r="E2" s="441" t="s">
        <v>1060</v>
      </c>
    </row>
    <row r="3" spans="1:6" ht="18">
      <c r="A3" s="604"/>
      <c r="B3" s="421" t="s">
        <v>1051</v>
      </c>
      <c r="C3" s="422">
        <v>0.65</v>
      </c>
      <c r="E3" s="334" t="s">
        <v>17</v>
      </c>
    </row>
    <row r="4" spans="1:6" ht="18">
      <c r="A4" s="604"/>
      <c r="B4" s="421" t="s">
        <v>1052</v>
      </c>
      <c r="C4" s="422">
        <v>2</v>
      </c>
    </row>
    <row r="5" spans="1:6" ht="18">
      <c r="A5" s="605"/>
      <c r="B5" s="421" t="s">
        <v>1053</v>
      </c>
      <c r="C5" s="422">
        <v>0</v>
      </c>
      <c r="E5" s="334" t="s">
        <v>17</v>
      </c>
    </row>
    <row r="6" spans="1:6" ht="18.75" thickBot="1">
      <c r="A6" s="423" t="s">
        <v>657</v>
      </c>
      <c r="B6" s="424" t="s">
        <v>1057</v>
      </c>
      <c r="C6" s="425">
        <f>SUM(C2:C5)</f>
        <v>3.55</v>
      </c>
      <c r="F6" s="335"/>
    </row>
    <row r="7" spans="1:6" ht="18">
      <c r="A7" s="426" t="s">
        <v>1069</v>
      </c>
      <c r="B7" s="427"/>
      <c r="C7" s="428">
        <v>10</v>
      </c>
    </row>
    <row r="8" spans="1:6" ht="18">
      <c r="A8" s="429" t="s">
        <v>658</v>
      </c>
      <c r="B8" s="430"/>
      <c r="C8" s="431">
        <v>5</v>
      </c>
    </row>
    <row r="9" spans="1:6" ht="18.75" thickBot="1">
      <c r="A9" s="423" t="s">
        <v>659</v>
      </c>
      <c r="B9" s="462"/>
      <c r="C9" s="463">
        <v>6</v>
      </c>
    </row>
    <row r="10" spans="1:6" ht="20.25" thickBot="1">
      <c r="A10" s="432" t="s">
        <v>621</v>
      </c>
      <c r="B10" s="433"/>
      <c r="C10" s="434">
        <f>ROUND(((C6/100+1)*(C7/100+1)*(C8/100+1)*(C9/100+1)-1)*100,2)</f>
        <v>26.78</v>
      </c>
    </row>
    <row r="11" spans="1:6" ht="18.75" thickBot="1">
      <c r="A11" s="606" t="str">
        <f>CONCATENATE("BDI= ",1+C6/100," x ",1+C7/100," x ",1+C8/100," x ",1+C9/100)</f>
        <v>BDI= 1,0355 x 1,1 x 1,05 x 1,06</v>
      </c>
      <c r="B11" s="607"/>
      <c r="C11" s="435"/>
    </row>
    <row r="12" spans="1:6" ht="18.75" thickBot="1">
      <c r="A12" s="436" t="s">
        <v>1058</v>
      </c>
      <c r="B12" s="437">
        <f>IF(D12="X",0,ROUND(C10,1)/100)</f>
        <v>0.26800000000000002</v>
      </c>
      <c r="C12" s="438"/>
      <c r="D12" s="466"/>
      <c r="E12" s="417"/>
      <c r="F12" s="449" t="s">
        <v>1097</v>
      </c>
    </row>
    <row r="13" spans="1:6" ht="7.9" customHeight="1" thickBot="1">
      <c r="A13" s="439"/>
      <c r="B13" s="439"/>
      <c r="C13" s="439"/>
    </row>
    <row r="14" spans="1:6" ht="18.75" thickBot="1">
      <c r="A14" s="458" t="s">
        <v>1059</v>
      </c>
      <c r="B14" s="459">
        <f>IF(B12&lt;10%,0,B12-10%)</f>
        <v>0.16800000000000001</v>
      </c>
      <c r="C14" s="460"/>
    </row>
    <row r="15" spans="1:6" ht="6.6" customHeight="1" thickBot="1">
      <c r="A15" s="439"/>
      <c r="B15" s="439"/>
      <c r="C15" s="439"/>
    </row>
    <row r="16" spans="1:6" ht="18.75" thickBot="1">
      <c r="A16" s="436" t="s">
        <v>1056</v>
      </c>
      <c r="B16" s="440">
        <f>' orc DER SETEMBRO 2017'!S1867</f>
        <v>867062.61999999988</v>
      </c>
      <c r="C16" s="438"/>
      <c r="E16" s="449" t="s">
        <v>1095</v>
      </c>
    </row>
    <row r="17" spans="1:5" ht="18.75" thickBot="1">
      <c r="A17" s="436" t="s">
        <v>1055</v>
      </c>
      <c r="B17" s="440">
        <v>703698.59999999951</v>
      </c>
      <c r="C17" s="438"/>
      <c r="E17" s="449" t="s">
        <v>1096</v>
      </c>
    </row>
    <row r="18" spans="1:5" ht="5.45" customHeight="1" thickBot="1">
      <c r="A18" s="439"/>
      <c r="B18" s="439"/>
      <c r="C18" s="439"/>
    </row>
    <row r="19" spans="1:5" ht="18.75" thickBot="1">
      <c r="A19" s="458" t="s">
        <v>1054</v>
      </c>
      <c r="B19" s="459">
        <f>IF(B17=0,0,IF(B16=0,0,ROUND((B16-B17)/B17,3)))</f>
        <v>0.23200000000000001</v>
      </c>
      <c r="C19" s="460"/>
    </row>
    <row r="21" spans="1:5" hidden="1">
      <c r="A21" s="441" t="s">
        <v>1061</v>
      </c>
      <c r="B21" s="443" t="s">
        <v>1065</v>
      </c>
    </row>
    <row r="22" spans="1:5" ht="18" hidden="1">
      <c r="A22" s="442" t="s">
        <v>1062</v>
      </c>
      <c r="B22" s="445">
        <v>5</v>
      </c>
      <c r="C22" s="444" t="s">
        <v>1030</v>
      </c>
    </row>
    <row r="23" spans="1:5" ht="18" hidden="1">
      <c r="A23" s="442" t="s">
        <v>1063</v>
      </c>
      <c r="B23" s="445">
        <v>40</v>
      </c>
      <c r="C23" s="444" t="s">
        <v>1030</v>
      </c>
    </row>
    <row r="24" spans="1:5" ht="18" hidden="1">
      <c r="A24" s="442" t="s">
        <v>1064</v>
      </c>
      <c r="B24" s="446" t="s">
        <v>1066</v>
      </c>
      <c r="C24" s="444" t="s">
        <v>1030</v>
      </c>
    </row>
    <row r="25" spans="1:5" ht="18" hidden="1">
      <c r="A25" s="442" t="s">
        <v>1068</v>
      </c>
      <c r="B25" s="445">
        <v>2</v>
      </c>
      <c r="C25" s="444" t="s">
        <v>1030</v>
      </c>
    </row>
    <row r="26" spans="1:5" hidden="1">
      <c r="A26" s="442" t="s">
        <v>1067</v>
      </c>
    </row>
    <row r="27" spans="1:5" hidden="1"/>
  </sheetData>
  <mergeCells count="2">
    <mergeCell ref="A2:A5"/>
    <mergeCell ref="A11:B11"/>
  </mergeCells>
  <printOptions horizontalCentered="1"/>
  <pageMargins left="0.39370078740157483" right="0.39370078740157483" top="0.78740157480314965" bottom="0.19685039370078741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showGridLines="0" showZeros="0" zoomScaleNormal="100" zoomScaleSheetLayoutView="100" workbookViewId="0">
      <selection activeCell="K17" sqref="K17"/>
    </sheetView>
  </sheetViews>
  <sheetFormatPr defaultColWidth="12" defaultRowHeight="12.75"/>
  <cols>
    <col min="1" max="1" width="18.6640625" style="319" customWidth="1"/>
    <col min="2" max="2" width="53.33203125" style="319" customWidth="1"/>
    <col min="3" max="3" width="14.6640625" style="297" customWidth="1"/>
    <col min="4" max="4" width="15.6640625" style="297" customWidth="1"/>
    <col min="5" max="6" width="24.83203125" style="297" customWidth="1"/>
    <col min="7" max="7" width="14.5" style="297" customWidth="1"/>
    <col min="8" max="16384" width="12" style="297"/>
  </cols>
  <sheetData>
    <row r="1" spans="1:7" s="281" customFormat="1" ht="25.15" customHeight="1" thickBot="1">
      <c r="A1" s="277" t="s">
        <v>585</v>
      </c>
      <c r="B1" s="278"/>
      <c r="C1" s="279"/>
      <c r="D1" s="279"/>
      <c r="E1" s="279"/>
      <c r="F1" s="280"/>
    </row>
    <row r="2" spans="1:7" s="281" customFormat="1" ht="13.9" customHeight="1">
      <c r="A2" s="282" t="s">
        <v>211</v>
      </c>
      <c r="B2" s="283" t="s">
        <v>1105</v>
      </c>
      <c r="C2" s="337"/>
      <c r="D2" s="284"/>
      <c r="E2" s="285" t="s">
        <v>212</v>
      </c>
      <c r="F2" s="286" t="s">
        <v>1107</v>
      </c>
    </row>
    <row r="3" spans="1:7" s="281" customFormat="1" ht="13.9" customHeight="1" thickBot="1">
      <c r="A3" s="287" t="s">
        <v>213</v>
      </c>
      <c r="B3" s="288" t="s">
        <v>1106</v>
      </c>
      <c r="C3" s="289"/>
      <c r="D3" s="289"/>
      <c r="E3" s="290" t="s">
        <v>214</v>
      </c>
      <c r="F3" s="291" t="s">
        <v>1108</v>
      </c>
    </row>
    <row r="4" spans="1:7" ht="26.25" thickBot="1">
      <c r="A4" s="292"/>
      <c r="B4" s="293"/>
      <c r="C4" s="294"/>
      <c r="D4" s="294"/>
      <c r="E4" s="295"/>
      <c r="F4" s="132" t="s">
        <v>210</v>
      </c>
      <c r="G4" s="296" t="s">
        <v>586</v>
      </c>
    </row>
    <row r="5" spans="1:7" ht="13.5" thickBot="1">
      <c r="A5" s="330">
        <v>1</v>
      </c>
      <c r="B5" s="596" t="s">
        <v>596</v>
      </c>
      <c r="C5" s="301"/>
      <c r="D5" s="301"/>
      <c r="E5" s="142"/>
      <c r="F5" s="320">
        <f>Cronograma!P7</f>
        <v>2188.23</v>
      </c>
      <c r="G5" s="298">
        <f>IF(F5=0,0,ROUND(F5/$F$13,7))</f>
        <v>2.9773999999999998E-3</v>
      </c>
    </row>
    <row r="6" spans="1:7" ht="13.5" thickBot="1">
      <c r="A6" s="299" t="s">
        <v>264</v>
      </c>
      <c r="B6" s="302" t="s">
        <v>593</v>
      </c>
      <c r="C6" s="303"/>
      <c r="D6" s="303"/>
      <c r="E6" s="595"/>
      <c r="F6" s="320">
        <f>' orc DER SETEMBRO 2017'!U216</f>
        <v>467448.27</v>
      </c>
      <c r="G6" s="298">
        <f>IF(F6=0,0,ROUND(F6/$F$13,6))</f>
        <v>0.63602400000000003</v>
      </c>
    </row>
    <row r="7" spans="1:7" ht="13.5" thickBot="1">
      <c r="A7" s="299" t="s">
        <v>266</v>
      </c>
      <c r="B7" s="300" t="s">
        <v>603</v>
      </c>
      <c r="C7" s="301"/>
      <c r="D7" s="301"/>
      <c r="E7" s="142"/>
      <c r="F7" s="320">
        <f>' orc DER SETEMBRO 2017'!U435</f>
        <v>47846.630000000005</v>
      </c>
      <c r="G7" s="298">
        <f>IF(F7=0,0,ROUND(F7/$F$13,7))</f>
        <v>6.5101599999999996E-2</v>
      </c>
    </row>
    <row r="8" spans="1:7" ht="13.5" thickBot="1">
      <c r="A8" s="299" t="s">
        <v>567</v>
      </c>
      <c r="B8" s="304" t="s">
        <v>604</v>
      </c>
      <c r="C8" s="305"/>
      <c r="D8" s="305"/>
      <c r="E8" s="142"/>
      <c r="F8" s="320">
        <f>' orc DER SETEMBRO 2017'!U590</f>
        <v>21397.79</v>
      </c>
      <c r="G8" s="298">
        <f>IF(F8=0,0,ROUND(F8/$F$13,7))</f>
        <v>2.9114500000000001E-2</v>
      </c>
    </row>
    <row r="9" spans="1:7" ht="13.5" thickBot="1">
      <c r="A9" s="299" t="s">
        <v>607</v>
      </c>
      <c r="B9" s="304" t="s">
        <v>608</v>
      </c>
      <c r="C9" s="305"/>
      <c r="D9" s="305"/>
      <c r="E9" s="142"/>
      <c r="F9" s="320">
        <f>' orc DER SETEMBRO 2017'!U889</f>
        <v>0</v>
      </c>
      <c r="G9" s="298">
        <f>IF(F9=0,0,ROUND(F9/$F$13,7))</f>
        <v>0</v>
      </c>
    </row>
    <row r="10" spans="1:7" ht="13.5" thickBot="1">
      <c r="A10" s="299" t="s">
        <v>609</v>
      </c>
      <c r="B10" s="304" t="s">
        <v>595</v>
      </c>
      <c r="C10" s="305"/>
      <c r="D10" s="305"/>
      <c r="E10" s="142"/>
      <c r="F10" s="320">
        <f>' orc DER SETEMBRO 2017'!U982</f>
        <v>189790.69999999998</v>
      </c>
      <c r="G10" s="298">
        <f>IF(F10=0,0,ROUND(F10/$F$13,7))</f>
        <v>0.25823489999999999</v>
      </c>
    </row>
    <row r="11" spans="1:7" ht="13.5" thickBot="1">
      <c r="A11" s="299" t="s">
        <v>1004</v>
      </c>
      <c r="B11" s="304" t="s">
        <v>1100</v>
      </c>
      <c r="C11" s="305"/>
      <c r="D11" s="305"/>
      <c r="E11" s="142"/>
      <c r="F11" s="320">
        <f>' orc DER SETEMBRO 2017'!U1809</f>
        <v>6282.0599999999995</v>
      </c>
      <c r="G11" s="298">
        <f>IF(F11=0,0,ROUND(F11/$F$13,4))</f>
        <v>8.5000000000000006E-3</v>
      </c>
    </row>
    <row r="12" spans="1:7" ht="7.15" customHeight="1" thickBot="1">
      <c r="A12" s="297"/>
      <c r="B12" s="297"/>
    </row>
    <row r="13" spans="1:7" ht="14.45" customHeight="1" thickBot="1">
      <c r="A13" s="306" t="s">
        <v>200</v>
      </c>
      <c r="B13" s="307"/>
      <c r="C13" s="308" t="s">
        <v>24</v>
      </c>
      <c r="D13" s="308"/>
      <c r="E13" s="243">
        <v>0</v>
      </c>
      <c r="F13" s="321">
        <f>SUM(F5:F11)</f>
        <v>734953.68</v>
      </c>
      <c r="G13" s="309">
        <f>SUM(G5:G12)</f>
        <v>0.99995239999999996</v>
      </c>
    </row>
    <row r="14" spans="1:7" ht="31.9" customHeight="1">
      <c r="A14" s="310" t="s">
        <v>587</v>
      </c>
      <c r="B14" s="311"/>
      <c r="D14" s="312" t="s">
        <v>588</v>
      </c>
      <c r="E14" s="312" t="s">
        <v>589</v>
      </c>
      <c r="F14" s="313" t="s">
        <v>590</v>
      </c>
    </row>
    <row r="15" spans="1:7">
      <c r="A15" s="338" t="s">
        <v>1146</v>
      </c>
      <c r="B15" s="314"/>
      <c r="C15" s="314"/>
      <c r="D15" s="315">
        <f>SUM(' orc DER SETEMBRO 2017'!Q322:Q328)</f>
        <v>1158.0129999999999</v>
      </c>
      <c r="E15" s="594" t="s">
        <v>1147</v>
      </c>
      <c r="F15" s="340">
        <f>ROUND(D15*0.4,-1)</f>
        <v>460</v>
      </c>
    </row>
    <row r="16" spans="1:7">
      <c r="A16" s="338"/>
      <c r="B16" s="314"/>
      <c r="C16" s="314"/>
      <c r="D16" s="315"/>
      <c r="E16" s="339"/>
      <c r="F16" s="340">
        <f t="shared" ref="F16:F17" si="0">ROUND(D16*0.4,-1)</f>
        <v>0</v>
      </c>
    </row>
    <row r="17" spans="1:6">
      <c r="A17" s="338"/>
      <c r="B17" s="314"/>
      <c r="C17" s="314"/>
      <c r="D17" s="315"/>
      <c r="E17" s="339"/>
      <c r="F17" s="340">
        <f t="shared" si="0"/>
        <v>0</v>
      </c>
    </row>
    <row r="18" spans="1:6" ht="13.5" thickBot="1">
      <c r="A18" s="316"/>
      <c r="B18" s="317"/>
      <c r="C18" s="318"/>
      <c r="D18" s="318"/>
      <c r="E18" s="305"/>
      <c r="F18" s="305"/>
    </row>
  </sheetData>
  <autoFilter ref="A4:F18"/>
  <printOptions horizontalCentered="1" verticalCentered="1"/>
  <pageMargins left="0.39370078740157483" right="0.39370078740157483" top="0.59055118110236227" bottom="0.39370078740157483" header="0.31496062992125984" footer="0.51181102362204722"/>
  <pageSetup paperSize="9" fitToHeight="0" orientation="landscape" r:id="rId1"/>
  <headerFooter alignWithMargins="0">
    <oddHeader>&amp;C&amp;"Arial,Negrito"&amp;12&amp;F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zoomScaleNormal="100" workbookViewId="0">
      <selection activeCell="Q14" sqref="Q14"/>
    </sheetView>
  </sheetViews>
  <sheetFormatPr defaultRowHeight="12.75"/>
  <cols>
    <col min="1" max="1" width="11.33203125" style="480" customWidth="1"/>
    <col min="2" max="2" width="37.83203125" style="480" customWidth="1"/>
    <col min="3" max="3" width="0.33203125" style="480" customWidth="1"/>
    <col min="4" max="4" width="11.83203125" style="480" customWidth="1"/>
    <col min="5" max="7" width="10.83203125" style="480" customWidth="1"/>
    <col min="8" max="14" width="10.83203125" style="480" hidden="1" customWidth="1"/>
    <col min="15" max="15" width="5" style="480" hidden="1" customWidth="1"/>
    <col min="16" max="16" width="12.5" style="480" customWidth="1"/>
    <col min="17" max="17" width="11" style="480" customWidth="1"/>
    <col min="18" max="18" width="0" style="480" hidden="1" customWidth="1"/>
    <col min="19" max="20" width="8.1640625" style="480" hidden="1" customWidth="1"/>
    <col min="21" max="21" width="8.1640625" style="480" customWidth="1"/>
    <col min="22" max="255" width="9.33203125" style="480"/>
    <col min="256" max="256" width="11.33203125" style="480" customWidth="1"/>
    <col min="257" max="257" width="67.83203125" style="480" customWidth="1"/>
    <col min="258" max="258" width="3.33203125" style="480" customWidth="1"/>
    <col min="259" max="266" width="10.83203125" style="480" customWidth="1"/>
    <col min="267" max="270" width="0" style="480" hidden="1" customWidth="1"/>
    <col min="271" max="271" width="10.83203125" style="480" customWidth="1"/>
    <col min="272" max="272" width="7.33203125" style="480" customWidth="1"/>
    <col min="273" max="511" width="9.33203125" style="480"/>
    <col min="512" max="512" width="11.33203125" style="480" customWidth="1"/>
    <col min="513" max="513" width="67.83203125" style="480" customWidth="1"/>
    <col min="514" max="514" width="3.33203125" style="480" customWidth="1"/>
    <col min="515" max="522" width="10.83203125" style="480" customWidth="1"/>
    <col min="523" max="526" width="0" style="480" hidden="1" customWidth="1"/>
    <col min="527" max="527" width="10.83203125" style="480" customWidth="1"/>
    <col min="528" max="528" width="7.33203125" style="480" customWidth="1"/>
    <col min="529" max="767" width="9.33203125" style="480"/>
    <col min="768" max="768" width="11.33203125" style="480" customWidth="1"/>
    <col min="769" max="769" width="67.83203125" style="480" customWidth="1"/>
    <col min="770" max="770" width="3.33203125" style="480" customWidth="1"/>
    <col min="771" max="778" width="10.83203125" style="480" customWidth="1"/>
    <col min="779" max="782" width="0" style="480" hidden="1" customWidth="1"/>
    <col min="783" max="783" width="10.83203125" style="480" customWidth="1"/>
    <col min="784" max="784" width="7.33203125" style="480" customWidth="1"/>
    <col min="785" max="1023" width="9.33203125" style="480"/>
    <col min="1024" max="1024" width="11.33203125" style="480" customWidth="1"/>
    <col min="1025" max="1025" width="67.83203125" style="480" customWidth="1"/>
    <col min="1026" max="1026" width="3.33203125" style="480" customWidth="1"/>
    <col min="1027" max="1034" width="10.83203125" style="480" customWidth="1"/>
    <col min="1035" max="1038" width="0" style="480" hidden="1" customWidth="1"/>
    <col min="1039" max="1039" width="10.83203125" style="480" customWidth="1"/>
    <col min="1040" max="1040" width="7.33203125" style="480" customWidth="1"/>
    <col min="1041" max="1279" width="9.33203125" style="480"/>
    <col min="1280" max="1280" width="11.33203125" style="480" customWidth="1"/>
    <col min="1281" max="1281" width="67.83203125" style="480" customWidth="1"/>
    <col min="1282" max="1282" width="3.33203125" style="480" customWidth="1"/>
    <col min="1283" max="1290" width="10.83203125" style="480" customWidth="1"/>
    <col min="1291" max="1294" width="0" style="480" hidden="1" customWidth="1"/>
    <col min="1295" max="1295" width="10.83203125" style="480" customWidth="1"/>
    <col min="1296" max="1296" width="7.33203125" style="480" customWidth="1"/>
    <col min="1297" max="1535" width="9.33203125" style="480"/>
    <col min="1536" max="1536" width="11.33203125" style="480" customWidth="1"/>
    <col min="1537" max="1537" width="67.83203125" style="480" customWidth="1"/>
    <col min="1538" max="1538" width="3.33203125" style="480" customWidth="1"/>
    <col min="1539" max="1546" width="10.83203125" style="480" customWidth="1"/>
    <col min="1547" max="1550" width="0" style="480" hidden="1" customWidth="1"/>
    <col min="1551" max="1551" width="10.83203125" style="480" customWidth="1"/>
    <col min="1552" max="1552" width="7.33203125" style="480" customWidth="1"/>
    <col min="1553" max="1791" width="9.33203125" style="480"/>
    <col min="1792" max="1792" width="11.33203125" style="480" customWidth="1"/>
    <col min="1793" max="1793" width="67.83203125" style="480" customWidth="1"/>
    <col min="1794" max="1794" width="3.33203125" style="480" customWidth="1"/>
    <col min="1795" max="1802" width="10.83203125" style="480" customWidth="1"/>
    <col min="1803" max="1806" width="0" style="480" hidden="1" customWidth="1"/>
    <col min="1807" max="1807" width="10.83203125" style="480" customWidth="1"/>
    <col min="1808" max="1808" width="7.33203125" style="480" customWidth="1"/>
    <col min="1809" max="2047" width="9.33203125" style="480"/>
    <col min="2048" max="2048" width="11.33203125" style="480" customWidth="1"/>
    <col min="2049" max="2049" width="67.83203125" style="480" customWidth="1"/>
    <col min="2050" max="2050" width="3.33203125" style="480" customWidth="1"/>
    <col min="2051" max="2058" width="10.83203125" style="480" customWidth="1"/>
    <col min="2059" max="2062" width="0" style="480" hidden="1" customWidth="1"/>
    <col min="2063" max="2063" width="10.83203125" style="480" customWidth="1"/>
    <col min="2064" max="2064" width="7.33203125" style="480" customWidth="1"/>
    <col min="2065" max="2303" width="9.33203125" style="480"/>
    <col min="2304" max="2304" width="11.33203125" style="480" customWidth="1"/>
    <col min="2305" max="2305" width="67.83203125" style="480" customWidth="1"/>
    <col min="2306" max="2306" width="3.33203125" style="480" customWidth="1"/>
    <col min="2307" max="2314" width="10.83203125" style="480" customWidth="1"/>
    <col min="2315" max="2318" width="0" style="480" hidden="1" customWidth="1"/>
    <col min="2319" max="2319" width="10.83203125" style="480" customWidth="1"/>
    <col min="2320" max="2320" width="7.33203125" style="480" customWidth="1"/>
    <col min="2321" max="2559" width="9.33203125" style="480"/>
    <col min="2560" max="2560" width="11.33203125" style="480" customWidth="1"/>
    <col min="2561" max="2561" width="67.83203125" style="480" customWidth="1"/>
    <col min="2562" max="2562" width="3.33203125" style="480" customWidth="1"/>
    <col min="2563" max="2570" width="10.83203125" style="480" customWidth="1"/>
    <col min="2571" max="2574" width="0" style="480" hidden="1" customWidth="1"/>
    <col min="2575" max="2575" width="10.83203125" style="480" customWidth="1"/>
    <col min="2576" max="2576" width="7.33203125" style="480" customWidth="1"/>
    <col min="2577" max="2815" width="9.33203125" style="480"/>
    <col min="2816" max="2816" width="11.33203125" style="480" customWidth="1"/>
    <col min="2817" max="2817" width="67.83203125" style="480" customWidth="1"/>
    <col min="2818" max="2818" width="3.33203125" style="480" customWidth="1"/>
    <col min="2819" max="2826" width="10.83203125" style="480" customWidth="1"/>
    <col min="2827" max="2830" width="0" style="480" hidden="1" customWidth="1"/>
    <col min="2831" max="2831" width="10.83203125" style="480" customWidth="1"/>
    <col min="2832" max="2832" width="7.33203125" style="480" customWidth="1"/>
    <col min="2833" max="3071" width="9.33203125" style="480"/>
    <col min="3072" max="3072" width="11.33203125" style="480" customWidth="1"/>
    <col min="3073" max="3073" width="67.83203125" style="480" customWidth="1"/>
    <col min="3074" max="3074" width="3.33203125" style="480" customWidth="1"/>
    <col min="3075" max="3082" width="10.83203125" style="480" customWidth="1"/>
    <col min="3083" max="3086" width="0" style="480" hidden="1" customWidth="1"/>
    <col min="3087" max="3087" width="10.83203125" style="480" customWidth="1"/>
    <col min="3088" max="3088" width="7.33203125" style="480" customWidth="1"/>
    <col min="3089" max="3327" width="9.33203125" style="480"/>
    <col min="3328" max="3328" width="11.33203125" style="480" customWidth="1"/>
    <col min="3329" max="3329" width="67.83203125" style="480" customWidth="1"/>
    <col min="3330" max="3330" width="3.33203125" style="480" customWidth="1"/>
    <col min="3331" max="3338" width="10.83203125" style="480" customWidth="1"/>
    <col min="3339" max="3342" width="0" style="480" hidden="1" customWidth="1"/>
    <col min="3343" max="3343" width="10.83203125" style="480" customWidth="1"/>
    <col min="3344" max="3344" width="7.33203125" style="480" customWidth="1"/>
    <col min="3345" max="3583" width="9.33203125" style="480"/>
    <col min="3584" max="3584" width="11.33203125" style="480" customWidth="1"/>
    <col min="3585" max="3585" width="67.83203125" style="480" customWidth="1"/>
    <col min="3586" max="3586" width="3.33203125" style="480" customWidth="1"/>
    <col min="3587" max="3594" width="10.83203125" style="480" customWidth="1"/>
    <col min="3595" max="3598" width="0" style="480" hidden="1" customWidth="1"/>
    <col min="3599" max="3599" width="10.83203125" style="480" customWidth="1"/>
    <col min="3600" max="3600" width="7.33203125" style="480" customWidth="1"/>
    <col min="3601" max="3839" width="9.33203125" style="480"/>
    <col min="3840" max="3840" width="11.33203125" style="480" customWidth="1"/>
    <col min="3841" max="3841" width="67.83203125" style="480" customWidth="1"/>
    <col min="3842" max="3842" width="3.33203125" style="480" customWidth="1"/>
    <col min="3843" max="3850" width="10.83203125" style="480" customWidth="1"/>
    <col min="3851" max="3854" width="0" style="480" hidden="1" customWidth="1"/>
    <col min="3855" max="3855" width="10.83203125" style="480" customWidth="1"/>
    <col min="3856" max="3856" width="7.33203125" style="480" customWidth="1"/>
    <col min="3857" max="4095" width="9.33203125" style="480"/>
    <col min="4096" max="4096" width="11.33203125" style="480" customWidth="1"/>
    <col min="4097" max="4097" width="67.83203125" style="480" customWidth="1"/>
    <col min="4098" max="4098" width="3.33203125" style="480" customWidth="1"/>
    <col min="4099" max="4106" width="10.83203125" style="480" customWidth="1"/>
    <col min="4107" max="4110" width="0" style="480" hidden="1" customWidth="1"/>
    <col min="4111" max="4111" width="10.83203125" style="480" customWidth="1"/>
    <col min="4112" max="4112" width="7.33203125" style="480" customWidth="1"/>
    <col min="4113" max="4351" width="9.33203125" style="480"/>
    <col min="4352" max="4352" width="11.33203125" style="480" customWidth="1"/>
    <col min="4353" max="4353" width="67.83203125" style="480" customWidth="1"/>
    <col min="4354" max="4354" width="3.33203125" style="480" customWidth="1"/>
    <col min="4355" max="4362" width="10.83203125" style="480" customWidth="1"/>
    <col min="4363" max="4366" width="0" style="480" hidden="1" customWidth="1"/>
    <col min="4367" max="4367" width="10.83203125" style="480" customWidth="1"/>
    <col min="4368" max="4368" width="7.33203125" style="480" customWidth="1"/>
    <col min="4369" max="4607" width="9.33203125" style="480"/>
    <col min="4608" max="4608" width="11.33203125" style="480" customWidth="1"/>
    <col min="4609" max="4609" width="67.83203125" style="480" customWidth="1"/>
    <col min="4610" max="4610" width="3.33203125" style="480" customWidth="1"/>
    <col min="4611" max="4618" width="10.83203125" style="480" customWidth="1"/>
    <col min="4619" max="4622" width="0" style="480" hidden="1" customWidth="1"/>
    <col min="4623" max="4623" width="10.83203125" style="480" customWidth="1"/>
    <col min="4624" max="4624" width="7.33203125" style="480" customWidth="1"/>
    <col min="4625" max="4863" width="9.33203125" style="480"/>
    <col min="4864" max="4864" width="11.33203125" style="480" customWidth="1"/>
    <col min="4865" max="4865" width="67.83203125" style="480" customWidth="1"/>
    <col min="4866" max="4866" width="3.33203125" style="480" customWidth="1"/>
    <col min="4867" max="4874" width="10.83203125" style="480" customWidth="1"/>
    <col min="4875" max="4878" width="0" style="480" hidden="1" customWidth="1"/>
    <col min="4879" max="4879" width="10.83203125" style="480" customWidth="1"/>
    <col min="4880" max="4880" width="7.33203125" style="480" customWidth="1"/>
    <col min="4881" max="5119" width="9.33203125" style="480"/>
    <col min="5120" max="5120" width="11.33203125" style="480" customWidth="1"/>
    <col min="5121" max="5121" width="67.83203125" style="480" customWidth="1"/>
    <col min="5122" max="5122" width="3.33203125" style="480" customWidth="1"/>
    <col min="5123" max="5130" width="10.83203125" style="480" customWidth="1"/>
    <col min="5131" max="5134" width="0" style="480" hidden="1" customWidth="1"/>
    <col min="5135" max="5135" width="10.83203125" style="480" customWidth="1"/>
    <col min="5136" max="5136" width="7.33203125" style="480" customWidth="1"/>
    <col min="5137" max="5375" width="9.33203125" style="480"/>
    <col min="5376" max="5376" width="11.33203125" style="480" customWidth="1"/>
    <col min="5377" max="5377" width="67.83203125" style="480" customWidth="1"/>
    <col min="5378" max="5378" width="3.33203125" style="480" customWidth="1"/>
    <col min="5379" max="5386" width="10.83203125" style="480" customWidth="1"/>
    <col min="5387" max="5390" width="0" style="480" hidden="1" customWidth="1"/>
    <col min="5391" max="5391" width="10.83203125" style="480" customWidth="1"/>
    <col min="5392" max="5392" width="7.33203125" style="480" customWidth="1"/>
    <col min="5393" max="5631" width="9.33203125" style="480"/>
    <col min="5632" max="5632" width="11.33203125" style="480" customWidth="1"/>
    <col min="5633" max="5633" width="67.83203125" style="480" customWidth="1"/>
    <col min="5634" max="5634" width="3.33203125" style="480" customWidth="1"/>
    <col min="5635" max="5642" width="10.83203125" style="480" customWidth="1"/>
    <col min="5643" max="5646" width="0" style="480" hidden="1" customWidth="1"/>
    <col min="5647" max="5647" width="10.83203125" style="480" customWidth="1"/>
    <col min="5648" max="5648" width="7.33203125" style="480" customWidth="1"/>
    <col min="5649" max="5887" width="9.33203125" style="480"/>
    <col min="5888" max="5888" width="11.33203125" style="480" customWidth="1"/>
    <col min="5889" max="5889" width="67.83203125" style="480" customWidth="1"/>
    <col min="5890" max="5890" width="3.33203125" style="480" customWidth="1"/>
    <col min="5891" max="5898" width="10.83203125" style="480" customWidth="1"/>
    <col min="5899" max="5902" width="0" style="480" hidden="1" customWidth="1"/>
    <col min="5903" max="5903" width="10.83203125" style="480" customWidth="1"/>
    <col min="5904" max="5904" width="7.33203125" style="480" customWidth="1"/>
    <col min="5905" max="6143" width="9.33203125" style="480"/>
    <col min="6144" max="6144" width="11.33203125" style="480" customWidth="1"/>
    <col min="6145" max="6145" width="67.83203125" style="480" customWidth="1"/>
    <col min="6146" max="6146" width="3.33203125" style="480" customWidth="1"/>
    <col min="6147" max="6154" width="10.83203125" style="480" customWidth="1"/>
    <col min="6155" max="6158" width="0" style="480" hidden="1" customWidth="1"/>
    <col min="6159" max="6159" width="10.83203125" style="480" customWidth="1"/>
    <col min="6160" max="6160" width="7.33203125" style="480" customWidth="1"/>
    <col min="6161" max="6399" width="9.33203125" style="480"/>
    <col min="6400" max="6400" width="11.33203125" style="480" customWidth="1"/>
    <col min="6401" max="6401" width="67.83203125" style="480" customWidth="1"/>
    <col min="6402" max="6402" width="3.33203125" style="480" customWidth="1"/>
    <col min="6403" max="6410" width="10.83203125" style="480" customWidth="1"/>
    <col min="6411" max="6414" width="0" style="480" hidden="1" customWidth="1"/>
    <col min="6415" max="6415" width="10.83203125" style="480" customWidth="1"/>
    <col min="6416" max="6416" width="7.33203125" style="480" customWidth="1"/>
    <col min="6417" max="6655" width="9.33203125" style="480"/>
    <col min="6656" max="6656" width="11.33203125" style="480" customWidth="1"/>
    <col min="6657" max="6657" width="67.83203125" style="480" customWidth="1"/>
    <col min="6658" max="6658" width="3.33203125" style="480" customWidth="1"/>
    <col min="6659" max="6666" width="10.83203125" style="480" customWidth="1"/>
    <col min="6667" max="6670" width="0" style="480" hidden="1" customWidth="1"/>
    <col min="6671" max="6671" width="10.83203125" style="480" customWidth="1"/>
    <col min="6672" max="6672" width="7.33203125" style="480" customWidth="1"/>
    <col min="6673" max="6911" width="9.33203125" style="480"/>
    <col min="6912" max="6912" width="11.33203125" style="480" customWidth="1"/>
    <col min="6913" max="6913" width="67.83203125" style="480" customWidth="1"/>
    <col min="6914" max="6914" width="3.33203125" style="480" customWidth="1"/>
    <col min="6915" max="6922" width="10.83203125" style="480" customWidth="1"/>
    <col min="6923" max="6926" width="0" style="480" hidden="1" customWidth="1"/>
    <col min="6927" max="6927" width="10.83203125" style="480" customWidth="1"/>
    <col min="6928" max="6928" width="7.33203125" style="480" customWidth="1"/>
    <col min="6929" max="7167" width="9.33203125" style="480"/>
    <col min="7168" max="7168" width="11.33203125" style="480" customWidth="1"/>
    <col min="7169" max="7169" width="67.83203125" style="480" customWidth="1"/>
    <col min="7170" max="7170" width="3.33203125" style="480" customWidth="1"/>
    <col min="7171" max="7178" width="10.83203125" style="480" customWidth="1"/>
    <col min="7179" max="7182" width="0" style="480" hidden="1" customWidth="1"/>
    <col min="7183" max="7183" width="10.83203125" style="480" customWidth="1"/>
    <col min="7184" max="7184" width="7.33203125" style="480" customWidth="1"/>
    <col min="7185" max="7423" width="9.33203125" style="480"/>
    <col min="7424" max="7424" width="11.33203125" style="480" customWidth="1"/>
    <col min="7425" max="7425" width="67.83203125" style="480" customWidth="1"/>
    <col min="7426" max="7426" width="3.33203125" style="480" customWidth="1"/>
    <col min="7427" max="7434" width="10.83203125" style="480" customWidth="1"/>
    <col min="7435" max="7438" width="0" style="480" hidden="1" customWidth="1"/>
    <col min="7439" max="7439" width="10.83203125" style="480" customWidth="1"/>
    <col min="7440" max="7440" width="7.33203125" style="480" customWidth="1"/>
    <col min="7441" max="7679" width="9.33203125" style="480"/>
    <col min="7680" max="7680" width="11.33203125" style="480" customWidth="1"/>
    <col min="7681" max="7681" width="67.83203125" style="480" customWidth="1"/>
    <col min="7682" max="7682" width="3.33203125" style="480" customWidth="1"/>
    <col min="7683" max="7690" width="10.83203125" style="480" customWidth="1"/>
    <col min="7691" max="7694" width="0" style="480" hidden="1" customWidth="1"/>
    <col min="7695" max="7695" width="10.83203125" style="480" customWidth="1"/>
    <col min="7696" max="7696" width="7.33203125" style="480" customWidth="1"/>
    <col min="7697" max="7935" width="9.33203125" style="480"/>
    <col min="7936" max="7936" width="11.33203125" style="480" customWidth="1"/>
    <col min="7937" max="7937" width="67.83203125" style="480" customWidth="1"/>
    <col min="7938" max="7938" width="3.33203125" style="480" customWidth="1"/>
    <col min="7939" max="7946" width="10.83203125" style="480" customWidth="1"/>
    <col min="7947" max="7950" width="0" style="480" hidden="1" customWidth="1"/>
    <col min="7951" max="7951" width="10.83203125" style="480" customWidth="1"/>
    <col min="7952" max="7952" width="7.33203125" style="480" customWidth="1"/>
    <col min="7953" max="8191" width="9.33203125" style="480"/>
    <col min="8192" max="8192" width="11.33203125" style="480" customWidth="1"/>
    <col min="8193" max="8193" width="67.83203125" style="480" customWidth="1"/>
    <col min="8194" max="8194" width="3.33203125" style="480" customWidth="1"/>
    <col min="8195" max="8202" width="10.83203125" style="480" customWidth="1"/>
    <col min="8203" max="8206" width="0" style="480" hidden="1" customWidth="1"/>
    <col min="8207" max="8207" width="10.83203125" style="480" customWidth="1"/>
    <col min="8208" max="8208" width="7.33203125" style="480" customWidth="1"/>
    <col min="8209" max="8447" width="9.33203125" style="480"/>
    <col min="8448" max="8448" width="11.33203125" style="480" customWidth="1"/>
    <col min="8449" max="8449" width="67.83203125" style="480" customWidth="1"/>
    <col min="8450" max="8450" width="3.33203125" style="480" customWidth="1"/>
    <col min="8451" max="8458" width="10.83203125" style="480" customWidth="1"/>
    <col min="8459" max="8462" width="0" style="480" hidden="1" customWidth="1"/>
    <col min="8463" max="8463" width="10.83203125" style="480" customWidth="1"/>
    <col min="8464" max="8464" width="7.33203125" style="480" customWidth="1"/>
    <col min="8465" max="8703" width="9.33203125" style="480"/>
    <col min="8704" max="8704" width="11.33203125" style="480" customWidth="1"/>
    <col min="8705" max="8705" width="67.83203125" style="480" customWidth="1"/>
    <col min="8706" max="8706" width="3.33203125" style="480" customWidth="1"/>
    <col min="8707" max="8714" width="10.83203125" style="480" customWidth="1"/>
    <col min="8715" max="8718" width="0" style="480" hidden="1" customWidth="1"/>
    <col min="8719" max="8719" width="10.83203125" style="480" customWidth="1"/>
    <col min="8720" max="8720" width="7.33203125" style="480" customWidth="1"/>
    <col min="8721" max="8959" width="9.33203125" style="480"/>
    <col min="8960" max="8960" width="11.33203125" style="480" customWidth="1"/>
    <col min="8961" max="8961" width="67.83203125" style="480" customWidth="1"/>
    <col min="8962" max="8962" width="3.33203125" style="480" customWidth="1"/>
    <col min="8963" max="8970" width="10.83203125" style="480" customWidth="1"/>
    <col min="8971" max="8974" width="0" style="480" hidden="1" customWidth="1"/>
    <col min="8975" max="8975" width="10.83203125" style="480" customWidth="1"/>
    <col min="8976" max="8976" width="7.33203125" style="480" customWidth="1"/>
    <col min="8977" max="9215" width="9.33203125" style="480"/>
    <col min="9216" max="9216" width="11.33203125" style="480" customWidth="1"/>
    <col min="9217" max="9217" width="67.83203125" style="480" customWidth="1"/>
    <col min="9218" max="9218" width="3.33203125" style="480" customWidth="1"/>
    <col min="9219" max="9226" width="10.83203125" style="480" customWidth="1"/>
    <col min="9227" max="9230" width="0" style="480" hidden="1" customWidth="1"/>
    <col min="9231" max="9231" width="10.83203125" style="480" customWidth="1"/>
    <col min="9232" max="9232" width="7.33203125" style="480" customWidth="1"/>
    <col min="9233" max="9471" width="9.33203125" style="480"/>
    <col min="9472" max="9472" width="11.33203125" style="480" customWidth="1"/>
    <col min="9473" max="9473" width="67.83203125" style="480" customWidth="1"/>
    <col min="9474" max="9474" width="3.33203125" style="480" customWidth="1"/>
    <col min="9475" max="9482" width="10.83203125" style="480" customWidth="1"/>
    <col min="9483" max="9486" width="0" style="480" hidden="1" customWidth="1"/>
    <col min="9487" max="9487" width="10.83203125" style="480" customWidth="1"/>
    <col min="9488" max="9488" width="7.33203125" style="480" customWidth="1"/>
    <col min="9489" max="9727" width="9.33203125" style="480"/>
    <col min="9728" max="9728" width="11.33203125" style="480" customWidth="1"/>
    <col min="9729" max="9729" width="67.83203125" style="480" customWidth="1"/>
    <col min="9730" max="9730" width="3.33203125" style="480" customWidth="1"/>
    <col min="9731" max="9738" width="10.83203125" style="480" customWidth="1"/>
    <col min="9739" max="9742" width="0" style="480" hidden="1" customWidth="1"/>
    <col min="9743" max="9743" width="10.83203125" style="480" customWidth="1"/>
    <col min="9744" max="9744" width="7.33203125" style="480" customWidth="1"/>
    <col min="9745" max="9983" width="9.33203125" style="480"/>
    <col min="9984" max="9984" width="11.33203125" style="480" customWidth="1"/>
    <col min="9985" max="9985" width="67.83203125" style="480" customWidth="1"/>
    <col min="9986" max="9986" width="3.33203125" style="480" customWidth="1"/>
    <col min="9987" max="9994" width="10.83203125" style="480" customWidth="1"/>
    <col min="9995" max="9998" width="0" style="480" hidden="1" customWidth="1"/>
    <col min="9999" max="9999" width="10.83203125" style="480" customWidth="1"/>
    <col min="10000" max="10000" width="7.33203125" style="480" customWidth="1"/>
    <col min="10001" max="10239" width="9.33203125" style="480"/>
    <col min="10240" max="10240" width="11.33203125" style="480" customWidth="1"/>
    <col min="10241" max="10241" width="67.83203125" style="480" customWidth="1"/>
    <col min="10242" max="10242" width="3.33203125" style="480" customWidth="1"/>
    <col min="10243" max="10250" width="10.83203125" style="480" customWidth="1"/>
    <col min="10251" max="10254" width="0" style="480" hidden="1" customWidth="1"/>
    <col min="10255" max="10255" width="10.83203125" style="480" customWidth="1"/>
    <col min="10256" max="10256" width="7.33203125" style="480" customWidth="1"/>
    <col min="10257" max="10495" width="9.33203125" style="480"/>
    <col min="10496" max="10496" width="11.33203125" style="480" customWidth="1"/>
    <col min="10497" max="10497" width="67.83203125" style="480" customWidth="1"/>
    <col min="10498" max="10498" width="3.33203125" style="480" customWidth="1"/>
    <col min="10499" max="10506" width="10.83203125" style="480" customWidth="1"/>
    <col min="10507" max="10510" width="0" style="480" hidden="1" customWidth="1"/>
    <col min="10511" max="10511" width="10.83203125" style="480" customWidth="1"/>
    <col min="10512" max="10512" width="7.33203125" style="480" customWidth="1"/>
    <col min="10513" max="10751" width="9.33203125" style="480"/>
    <col min="10752" max="10752" width="11.33203125" style="480" customWidth="1"/>
    <col min="10753" max="10753" width="67.83203125" style="480" customWidth="1"/>
    <col min="10754" max="10754" width="3.33203125" style="480" customWidth="1"/>
    <col min="10755" max="10762" width="10.83203125" style="480" customWidth="1"/>
    <col min="10763" max="10766" width="0" style="480" hidden="1" customWidth="1"/>
    <col min="10767" max="10767" width="10.83203125" style="480" customWidth="1"/>
    <col min="10768" max="10768" width="7.33203125" style="480" customWidth="1"/>
    <col min="10769" max="11007" width="9.33203125" style="480"/>
    <col min="11008" max="11008" width="11.33203125" style="480" customWidth="1"/>
    <col min="11009" max="11009" width="67.83203125" style="480" customWidth="1"/>
    <col min="11010" max="11010" width="3.33203125" style="480" customWidth="1"/>
    <col min="11011" max="11018" width="10.83203125" style="480" customWidth="1"/>
    <col min="11019" max="11022" width="0" style="480" hidden="1" customWidth="1"/>
    <col min="11023" max="11023" width="10.83203125" style="480" customWidth="1"/>
    <col min="11024" max="11024" width="7.33203125" style="480" customWidth="1"/>
    <col min="11025" max="11263" width="9.33203125" style="480"/>
    <col min="11264" max="11264" width="11.33203125" style="480" customWidth="1"/>
    <col min="11265" max="11265" width="67.83203125" style="480" customWidth="1"/>
    <col min="11266" max="11266" width="3.33203125" style="480" customWidth="1"/>
    <col min="11267" max="11274" width="10.83203125" style="480" customWidth="1"/>
    <col min="11275" max="11278" width="0" style="480" hidden="1" customWidth="1"/>
    <col min="11279" max="11279" width="10.83203125" style="480" customWidth="1"/>
    <col min="11280" max="11280" width="7.33203125" style="480" customWidth="1"/>
    <col min="11281" max="11519" width="9.33203125" style="480"/>
    <col min="11520" max="11520" width="11.33203125" style="480" customWidth="1"/>
    <col min="11521" max="11521" width="67.83203125" style="480" customWidth="1"/>
    <col min="11522" max="11522" width="3.33203125" style="480" customWidth="1"/>
    <col min="11523" max="11530" width="10.83203125" style="480" customWidth="1"/>
    <col min="11531" max="11534" width="0" style="480" hidden="1" customWidth="1"/>
    <col min="11535" max="11535" width="10.83203125" style="480" customWidth="1"/>
    <col min="11536" max="11536" width="7.33203125" style="480" customWidth="1"/>
    <col min="11537" max="11775" width="9.33203125" style="480"/>
    <col min="11776" max="11776" width="11.33203125" style="480" customWidth="1"/>
    <col min="11777" max="11777" width="67.83203125" style="480" customWidth="1"/>
    <col min="11778" max="11778" width="3.33203125" style="480" customWidth="1"/>
    <col min="11779" max="11786" width="10.83203125" style="480" customWidth="1"/>
    <col min="11787" max="11790" width="0" style="480" hidden="1" customWidth="1"/>
    <col min="11791" max="11791" width="10.83203125" style="480" customWidth="1"/>
    <col min="11792" max="11792" width="7.33203125" style="480" customWidth="1"/>
    <col min="11793" max="12031" width="9.33203125" style="480"/>
    <col min="12032" max="12032" width="11.33203125" style="480" customWidth="1"/>
    <col min="12033" max="12033" width="67.83203125" style="480" customWidth="1"/>
    <col min="12034" max="12034" width="3.33203125" style="480" customWidth="1"/>
    <col min="12035" max="12042" width="10.83203125" style="480" customWidth="1"/>
    <col min="12043" max="12046" width="0" style="480" hidden="1" customWidth="1"/>
    <col min="12047" max="12047" width="10.83203125" style="480" customWidth="1"/>
    <col min="12048" max="12048" width="7.33203125" style="480" customWidth="1"/>
    <col min="12049" max="12287" width="9.33203125" style="480"/>
    <col min="12288" max="12288" width="11.33203125" style="480" customWidth="1"/>
    <col min="12289" max="12289" width="67.83203125" style="480" customWidth="1"/>
    <col min="12290" max="12290" width="3.33203125" style="480" customWidth="1"/>
    <col min="12291" max="12298" width="10.83203125" style="480" customWidth="1"/>
    <col min="12299" max="12302" width="0" style="480" hidden="1" customWidth="1"/>
    <col min="12303" max="12303" width="10.83203125" style="480" customWidth="1"/>
    <col min="12304" max="12304" width="7.33203125" style="480" customWidth="1"/>
    <col min="12305" max="12543" width="9.33203125" style="480"/>
    <col min="12544" max="12544" width="11.33203125" style="480" customWidth="1"/>
    <col min="12545" max="12545" width="67.83203125" style="480" customWidth="1"/>
    <col min="12546" max="12546" width="3.33203125" style="480" customWidth="1"/>
    <col min="12547" max="12554" width="10.83203125" style="480" customWidth="1"/>
    <col min="12555" max="12558" width="0" style="480" hidden="1" customWidth="1"/>
    <col min="12559" max="12559" width="10.83203125" style="480" customWidth="1"/>
    <col min="12560" max="12560" width="7.33203125" style="480" customWidth="1"/>
    <col min="12561" max="12799" width="9.33203125" style="480"/>
    <col min="12800" max="12800" width="11.33203125" style="480" customWidth="1"/>
    <col min="12801" max="12801" width="67.83203125" style="480" customWidth="1"/>
    <col min="12802" max="12802" width="3.33203125" style="480" customWidth="1"/>
    <col min="12803" max="12810" width="10.83203125" style="480" customWidth="1"/>
    <col min="12811" max="12814" width="0" style="480" hidden="1" customWidth="1"/>
    <col min="12815" max="12815" width="10.83203125" style="480" customWidth="1"/>
    <col min="12816" max="12816" width="7.33203125" style="480" customWidth="1"/>
    <col min="12817" max="13055" width="9.33203125" style="480"/>
    <col min="13056" max="13056" width="11.33203125" style="480" customWidth="1"/>
    <col min="13057" max="13057" width="67.83203125" style="480" customWidth="1"/>
    <col min="13058" max="13058" width="3.33203125" style="480" customWidth="1"/>
    <col min="13059" max="13066" width="10.83203125" style="480" customWidth="1"/>
    <col min="13067" max="13070" width="0" style="480" hidden="1" customWidth="1"/>
    <col min="13071" max="13071" width="10.83203125" style="480" customWidth="1"/>
    <col min="13072" max="13072" width="7.33203125" style="480" customWidth="1"/>
    <col min="13073" max="13311" width="9.33203125" style="480"/>
    <col min="13312" max="13312" width="11.33203125" style="480" customWidth="1"/>
    <col min="13313" max="13313" width="67.83203125" style="480" customWidth="1"/>
    <col min="13314" max="13314" width="3.33203125" style="480" customWidth="1"/>
    <col min="13315" max="13322" width="10.83203125" style="480" customWidth="1"/>
    <col min="13323" max="13326" width="0" style="480" hidden="1" customWidth="1"/>
    <col min="13327" max="13327" width="10.83203125" style="480" customWidth="1"/>
    <col min="13328" max="13328" width="7.33203125" style="480" customWidth="1"/>
    <col min="13329" max="13567" width="9.33203125" style="480"/>
    <col min="13568" max="13568" width="11.33203125" style="480" customWidth="1"/>
    <col min="13569" max="13569" width="67.83203125" style="480" customWidth="1"/>
    <col min="13570" max="13570" width="3.33203125" style="480" customWidth="1"/>
    <col min="13571" max="13578" width="10.83203125" style="480" customWidth="1"/>
    <col min="13579" max="13582" width="0" style="480" hidden="1" customWidth="1"/>
    <col min="13583" max="13583" width="10.83203125" style="480" customWidth="1"/>
    <col min="13584" max="13584" width="7.33203125" style="480" customWidth="1"/>
    <col min="13585" max="13823" width="9.33203125" style="480"/>
    <col min="13824" max="13824" width="11.33203125" style="480" customWidth="1"/>
    <col min="13825" max="13825" width="67.83203125" style="480" customWidth="1"/>
    <col min="13826" max="13826" width="3.33203125" style="480" customWidth="1"/>
    <col min="13827" max="13834" width="10.83203125" style="480" customWidth="1"/>
    <col min="13835" max="13838" width="0" style="480" hidden="1" customWidth="1"/>
    <col min="13839" max="13839" width="10.83203125" style="480" customWidth="1"/>
    <col min="13840" max="13840" width="7.33203125" style="480" customWidth="1"/>
    <col min="13841" max="14079" width="9.33203125" style="480"/>
    <col min="14080" max="14080" width="11.33203125" style="480" customWidth="1"/>
    <col min="14081" max="14081" width="67.83203125" style="480" customWidth="1"/>
    <col min="14082" max="14082" width="3.33203125" style="480" customWidth="1"/>
    <col min="14083" max="14090" width="10.83203125" style="480" customWidth="1"/>
    <col min="14091" max="14094" width="0" style="480" hidden="1" customWidth="1"/>
    <col min="14095" max="14095" width="10.83203125" style="480" customWidth="1"/>
    <col min="14096" max="14096" width="7.33203125" style="480" customWidth="1"/>
    <col min="14097" max="14335" width="9.33203125" style="480"/>
    <col min="14336" max="14336" width="11.33203125" style="480" customWidth="1"/>
    <col min="14337" max="14337" width="67.83203125" style="480" customWidth="1"/>
    <col min="14338" max="14338" width="3.33203125" style="480" customWidth="1"/>
    <col min="14339" max="14346" width="10.83203125" style="480" customWidth="1"/>
    <col min="14347" max="14350" width="0" style="480" hidden="1" customWidth="1"/>
    <col min="14351" max="14351" width="10.83203125" style="480" customWidth="1"/>
    <col min="14352" max="14352" width="7.33203125" style="480" customWidth="1"/>
    <col min="14353" max="14591" width="9.33203125" style="480"/>
    <col min="14592" max="14592" width="11.33203125" style="480" customWidth="1"/>
    <col min="14593" max="14593" width="67.83203125" style="480" customWidth="1"/>
    <col min="14594" max="14594" width="3.33203125" style="480" customWidth="1"/>
    <col min="14595" max="14602" width="10.83203125" style="480" customWidth="1"/>
    <col min="14603" max="14606" width="0" style="480" hidden="1" customWidth="1"/>
    <col min="14607" max="14607" width="10.83203125" style="480" customWidth="1"/>
    <col min="14608" max="14608" width="7.33203125" style="480" customWidth="1"/>
    <col min="14609" max="14847" width="9.33203125" style="480"/>
    <col min="14848" max="14848" width="11.33203125" style="480" customWidth="1"/>
    <col min="14849" max="14849" width="67.83203125" style="480" customWidth="1"/>
    <col min="14850" max="14850" width="3.33203125" style="480" customWidth="1"/>
    <col min="14851" max="14858" width="10.83203125" style="480" customWidth="1"/>
    <col min="14859" max="14862" width="0" style="480" hidden="1" customWidth="1"/>
    <col min="14863" max="14863" width="10.83203125" style="480" customWidth="1"/>
    <col min="14864" max="14864" width="7.33203125" style="480" customWidth="1"/>
    <col min="14865" max="15103" width="9.33203125" style="480"/>
    <col min="15104" max="15104" width="11.33203125" style="480" customWidth="1"/>
    <col min="15105" max="15105" width="67.83203125" style="480" customWidth="1"/>
    <col min="15106" max="15106" width="3.33203125" style="480" customWidth="1"/>
    <col min="15107" max="15114" width="10.83203125" style="480" customWidth="1"/>
    <col min="15115" max="15118" width="0" style="480" hidden="1" customWidth="1"/>
    <col min="15119" max="15119" width="10.83203125" style="480" customWidth="1"/>
    <col min="15120" max="15120" width="7.33203125" style="480" customWidth="1"/>
    <col min="15121" max="15359" width="9.33203125" style="480"/>
    <col min="15360" max="15360" width="11.33203125" style="480" customWidth="1"/>
    <col min="15361" max="15361" width="67.83203125" style="480" customWidth="1"/>
    <col min="15362" max="15362" width="3.33203125" style="480" customWidth="1"/>
    <col min="15363" max="15370" width="10.83203125" style="480" customWidth="1"/>
    <col min="15371" max="15374" width="0" style="480" hidden="1" customWidth="1"/>
    <col min="15375" max="15375" width="10.83203125" style="480" customWidth="1"/>
    <col min="15376" max="15376" width="7.33203125" style="480" customWidth="1"/>
    <col min="15377" max="15615" width="9.33203125" style="480"/>
    <col min="15616" max="15616" width="11.33203125" style="480" customWidth="1"/>
    <col min="15617" max="15617" width="67.83203125" style="480" customWidth="1"/>
    <col min="15618" max="15618" width="3.33203125" style="480" customWidth="1"/>
    <col min="15619" max="15626" width="10.83203125" style="480" customWidth="1"/>
    <col min="15627" max="15630" width="0" style="480" hidden="1" customWidth="1"/>
    <col min="15631" max="15631" width="10.83203125" style="480" customWidth="1"/>
    <col min="15632" max="15632" width="7.33203125" style="480" customWidth="1"/>
    <col min="15633" max="15871" width="9.33203125" style="480"/>
    <col min="15872" max="15872" width="11.33203125" style="480" customWidth="1"/>
    <col min="15873" max="15873" width="67.83203125" style="480" customWidth="1"/>
    <col min="15874" max="15874" width="3.33203125" style="480" customWidth="1"/>
    <col min="15875" max="15882" width="10.83203125" style="480" customWidth="1"/>
    <col min="15883" max="15886" width="0" style="480" hidden="1" customWidth="1"/>
    <col min="15887" max="15887" width="10.83203125" style="480" customWidth="1"/>
    <col min="15888" max="15888" width="7.33203125" style="480" customWidth="1"/>
    <col min="15889" max="16127" width="9.33203125" style="480"/>
    <col min="16128" max="16128" width="11.33203125" style="480" customWidth="1"/>
    <col min="16129" max="16129" width="67.83203125" style="480" customWidth="1"/>
    <col min="16130" max="16130" width="3.33203125" style="480" customWidth="1"/>
    <col min="16131" max="16138" width="10.83203125" style="480" customWidth="1"/>
    <col min="16139" max="16142" width="0" style="480" hidden="1" customWidth="1"/>
    <col min="16143" max="16143" width="10.83203125" style="480" customWidth="1"/>
    <col min="16144" max="16144" width="7.33203125" style="480" customWidth="1"/>
    <col min="16145" max="16384" width="9.33203125" style="480"/>
  </cols>
  <sheetData>
    <row r="1" spans="1:19" ht="28.5" customHeight="1">
      <c r="A1" s="474" t="s">
        <v>1110</v>
      </c>
      <c r="B1" s="475" t="s">
        <v>1111</v>
      </c>
      <c r="C1" s="476"/>
      <c r="D1" s="477"/>
      <c r="E1" s="477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9"/>
    </row>
    <row r="2" spans="1:19" ht="15" customHeight="1">
      <c r="A2" s="481" t="s">
        <v>211</v>
      </c>
      <c r="B2" s="482" t="s">
        <v>1105</v>
      </c>
      <c r="C2" s="483"/>
      <c r="D2" s="484" t="s">
        <v>212</v>
      </c>
      <c r="E2" s="485" t="s">
        <v>1107</v>
      </c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7" t="s">
        <v>1112</v>
      </c>
      <c r="Q2" s="593">
        <f>150000/P26</f>
        <v>0.20409449477142558</v>
      </c>
    </row>
    <row r="3" spans="1:19" ht="15" customHeight="1" thickBot="1">
      <c r="A3" s="488" t="s">
        <v>213</v>
      </c>
      <c r="B3" s="489" t="s">
        <v>1106</v>
      </c>
      <c r="C3" s="490"/>
      <c r="D3" s="491" t="s">
        <v>214</v>
      </c>
      <c r="E3" s="492" t="s">
        <v>1108</v>
      </c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4" t="s">
        <v>1113</v>
      </c>
      <c r="Q3" s="495">
        <f>1-Q2</f>
        <v>0.79590550522857439</v>
      </c>
    </row>
    <row r="4" spans="1:19" ht="18">
      <c r="A4" s="496" t="s">
        <v>1114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8"/>
    </row>
    <row r="5" spans="1:19" ht="12.75" customHeight="1">
      <c r="A5" s="499" t="s">
        <v>1115</v>
      </c>
      <c r="B5" s="500" t="s">
        <v>1116</v>
      </c>
      <c r="C5" s="501"/>
      <c r="D5" s="502" t="s">
        <v>1117</v>
      </c>
      <c r="E5" s="503"/>
      <c r="F5" s="503"/>
      <c r="G5" s="503"/>
      <c r="H5" s="503"/>
      <c r="I5" s="503"/>
      <c r="J5" s="503"/>
      <c r="K5" s="504"/>
      <c r="L5" s="504"/>
      <c r="M5" s="504"/>
      <c r="N5" s="504"/>
      <c r="O5" s="504"/>
      <c r="P5" s="505" t="s">
        <v>657</v>
      </c>
      <c r="Q5" s="506" t="s">
        <v>1118</v>
      </c>
      <c r="S5" s="480" t="s">
        <v>1119</v>
      </c>
    </row>
    <row r="6" spans="1:19" ht="13.5" thickBot="1">
      <c r="A6" s="507" t="s">
        <v>1120</v>
      </c>
      <c r="B6" s="508"/>
      <c r="C6" s="509"/>
      <c r="D6" s="510">
        <v>1</v>
      </c>
      <c r="E6" s="510">
        <v>2</v>
      </c>
      <c r="F6" s="510">
        <v>3</v>
      </c>
      <c r="G6" s="510">
        <v>4</v>
      </c>
      <c r="H6" s="510">
        <v>5</v>
      </c>
      <c r="I6" s="510">
        <v>6</v>
      </c>
      <c r="J6" s="510">
        <v>7</v>
      </c>
      <c r="K6" s="510">
        <v>8</v>
      </c>
      <c r="L6" s="510">
        <v>9</v>
      </c>
      <c r="M6" s="510">
        <v>10</v>
      </c>
      <c r="N6" s="510">
        <v>11</v>
      </c>
      <c r="O6" s="510">
        <v>12</v>
      </c>
      <c r="P6" s="511" t="s">
        <v>1121</v>
      </c>
      <c r="Q6" s="512" t="s">
        <v>657</v>
      </c>
    </row>
    <row r="7" spans="1:19" ht="13.5" thickTop="1">
      <c r="A7" s="513" t="s">
        <v>1122</v>
      </c>
      <c r="B7" s="514" t="s">
        <v>596</v>
      </c>
      <c r="C7" s="515">
        <v>1</v>
      </c>
      <c r="D7" s="516">
        <v>100</v>
      </c>
      <c r="E7" s="516"/>
      <c r="F7" s="516"/>
      <c r="G7" s="516"/>
      <c r="H7" s="516"/>
      <c r="I7" s="517"/>
      <c r="J7" s="517"/>
      <c r="K7" s="517"/>
      <c r="L7" s="517"/>
      <c r="M7" s="517"/>
      <c r="N7" s="517"/>
      <c r="O7" s="517"/>
      <c r="P7" s="518">
        <f>' orc DER SETEMBRO 2017'!U18</f>
        <v>2188.23</v>
      </c>
      <c r="Q7" s="519">
        <f t="shared" ref="Q7:Q24" si="0">IF($P$26=0,0,(P7/$P$26)*100)</f>
        <v>0.29773713086245107</v>
      </c>
      <c r="S7" s="520"/>
    </row>
    <row r="8" spans="1:19">
      <c r="A8" s="513" t="s">
        <v>1123</v>
      </c>
      <c r="B8" s="514" t="s">
        <v>592</v>
      </c>
      <c r="C8" s="515">
        <v>2</v>
      </c>
      <c r="D8" s="516"/>
      <c r="E8" s="516"/>
      <c r="F8" s="516"/>
      <c r="G8" s="516"/>
      <c r="H8" s="516"/>
      <c r="I8" s="521"/>
      <c r="J8" s="521"/>
      <c r="K8" s="521"/>
      <c r="L8" s="521"/>
      <c r="M8" s="521"/>
      <c r="N8" s="521"/>
      <c r="O8" s="521"/>
      <c r="P8" s="518"/>
      <c r="Q8" s="519">
        <f t="shared" si="0"/>
        <v>0</v>
      </c>
      <c r="S8" s="480">
        <f t="shared" ref="S8:S24" si="1">SUM(D8:O8)</f>
        <v>0</v>
      </c>
    </row>
    <row r="9" spans="1:19">
      <c r="A9" s="513" t="s">
        <v>1124</v>
      </c>
      <c r="B9" s="514" t="s">
        <v>601</v>
      </c>
      <c r="C9" s="515">
        <v>3</v>
      </c>
      <c r="D9" s="522"/>
      <c r="E9" s="522"/>
      <c r="F9" s="522"/>
      <c r="G9" s="522"/>
      <c r="H9" s="522"/>
      <c r="I9" s="521"/>
      <c r="J9" s="521"/>
      <c r="K9" s="521"/>
      <c r="L9" s="521"/>
      <c r="M9" s="521"/>
      <c r="N9" s="521"/>
      <c r="O9" s="521"/>
      <c r="P9" s="518"/>
      <c r="Q9" s="519">
        <f t="shared" si="0"/>
        <v>0</v>
      </c>
      <c r="S9" s="480">
        <f t="shared" si="1"/>
        <v>0</v>
      </c>
    </row>
    <row r="10" spans="1:19">
      <c r="A10" s="513" t="s">
        <v>1125</v>
      </c>
      <c r="B10" s="514" t="s">
        <v>593</v>
      </c>
      <c r="C10" s="515">
        <v>4</v>
      </c>
      <c r="D10" s="522">
        <v>25</v>
      </c>
      <c r="E10" s="522">
        <v>25</v>
      </c>
      <c r="F10" s="522">
        <v>25</v>
      </c>
      <c r="G10" s="522">
        <v>25</v>
      </c>
      <c r="H10" s="522"/>
      <c r="I10" s="521"/>
      <c r="J10" s="521"/>
      <c r="K10" s="521"/>
      <c r="L10" s="521"/>
      <c r="M10" s="521"/>
      <c r="N10" s="521"/>
      <c r="O10" s="521"/>
      <c r="P10" s="518">
        <f>' orc DER SETEMBRO 2017'!U216</f>
        <v>467448.27</v>
      </c>
      <c r="Q10" s="519">
        <f t="shared" si="0"/>
        <v>63.602412331617963</v>
      </c>
      <c r="S10" s="480">
        <f t="shared" si="1"/>
        <v>100</v>
      </c>
    </row>
    <row r="11" spans="1:19">
      <c r="A11" s="513" t="s">
        <v>1126</v>
      </c>
      <c r="B11" s="514" t="s">
        <v>594</v>
      </c>
      <c r="C11" s="515">
        <v>5</v>
      </c>
      <c r="D11" s="522"/>
      <c r="E11" s="522"/>
      <c r="F11" s="522"/>
      <c r="G11" s="522"/>
      <c r="H11" s="522"/>
      <c r="I11" s="521"/>
      <c r="J11" s="521"/>
      <c r="K11" s="521"/>
      <c r="L11" s="521"/>
      <c r="M11" s="521"/>
      <c r="N11" s="521"/>
      <c r="O11" s="521"/>
      <c r="P11" s="518"/>
      <c r="Q11" s="519">
        <f t="shared" si="0"/>
        <v>0</v>
      </c>
      <c r="S11" s="480">
        <f t="shared" si="1"/>
        <v>0</v>
      </c>
    </row>
    <row r="12" spans="1:19">
      <c r="A12" s="513" t="s">
        <v>1127</v>
      </c>
      <c r="B12" s="514" t="s">
        <v>603</v>
      </c>
      <c r="C12" s="515">
        <v>6</v>
      </c>
      <c r="D12" s="522"/>
      <c r="E12" s="522">
        <v>30</v>
      </c>
      <c r="F12" s="522">
        <v>30</v>
      </c>
      <c r="G12" s="522">
        <v>40</v>
      </c>
      <c r="H12" s="522"/>
      <c r="I12" s="521"/>
      <c r="J12" s="521"/>
      <c r="K12" s="521"/>
      <c r="L12" s="521"/>
      <c r="M12" s="521"/>
      <c r="N12" s="521"/>
      <c r="O12" s="521"/>
      <c r="P12" s="518">
        <f>' orc DER SETEMBRO 2017'!U435</f>
        <v>47846.630000000005</v>
      </c>
      <c r="Q12" s="519">
        <f t="shared" si="0"/>
        <v>6.5101558509102233</v>
      </c>
      <c r="S12" s="480">
        <f t="shared" si="1"/>
        <v>100</v>
      </c>
    </row>
    <row r="13" spans="1:19">
      <c r="A13" s="513" t="s">
        <v>1128</v>
      </c>
      <c r="B13" s="514" t="s">
        <v>604</v>
      </c>
      <c r="C13" s="515">
        <v>7</v>
      </c>
      <c r="D13" s="522"/>
      <c r="E13" s="522"/>
      <c r="F13" s="522">
        <v>50</v>
      </c>
      <c r="G13" s="522">
        <v>50</v>
      </c>
      <c r="H13" s="522"/>
      <c r="I13" s="521"/>
      <c r="J13" s="521"/>
      <c r="K13" s="521"/>
      <c r="L13" s="521"/>
      <c r="M13" s="521"/>
      <c r="N13" s="521"/>
      <c r="O13" s="521"/>
      <c r="P13" s="518">
        <f>' orc DER SETEMBRO 2017'!U590</f>
        <v>21397.79</v>
      </c>
      <c r="Q13" s="519">
        <f t="shared" si="0"/>
        <v>2.9114474261833752</v>
      </c>
      <c r="S13" s="480">
        <f t="shared" si="1"/>
        <v>100</v>
      </c>
    </row>
    <row r="14" spans="1:19">
      <c r="A14" s="513" t="s">
        <v>1129</v>
      </c>
      <c r="B14" s="514" t="s">
        <v>1130</v>
      </c>
      <c r="C14" s="515">
        <v>8</v>
      </c>
      <c r="D14" s="522"/>
      <c r="E14" s="522"/>
      <c r="F14" s="522"/>
      <c r="G14" s="522"/>
      <c r="H14" s="522"/>
      <c r="I14" s="521"/>
      <c r="J14" s="521"/>
      <c r="K14" s="521"/>
      <c r="L14" s="521"/>
      <c r="M14" s="521"/>
      <c r="N14" s="521"/>
      <c r="O14" s="521"/>
      <c r="P14" s="518"/>
      <c r="Q14" s="519">
        <f t="shared" si="0"/>
        <v>0</v>
      </c>
      <c r="S14" s="480">
        <f t="shared" si="1"/>
        <v>0</v>
      </c>
    </row>
    <row r="15" spans="1:19">
      <c r="A15" s="513" t="s">
        <v>1131</v>
      </c>
      <c r="B15" s="514" t="s">
        <v>608</v>
      </c>
      <c r="C15" s="515">
        <v>9</v>
      </c>
      <c r="D15" s="522"/>
      <c r="E15" s="522">
        <v>30</v>
      </c>
      <c r="F15" s="522">
        <v>30</v>
      </c>
      <c r="G15" s="522">
        <v>40</v>
      </c>
      <c r="H15" s="522"/>
      <c r="I15" s="521"/>
      <c r="J15" s="521"/>
      <c r="K15" s="521"/>
      <c r="L15" s="521"/>
      <c r="M15" s="521"/>
      <c r="N15" s="521"/>
      <c r="O15" s="521"/>
      <c r="P15" s="518">
        <f>' orc DER SETEMBRO 2017'!U889</f>
        <v>0</v>
      </c>
      <c r="Q15" s="519">
        <f t="shared" si="0"/>
        <v>0</v>
      </c>
      <c r="S15" s="480">
        <f t="shared" si="1"/>
        <v>100</v>
      </c>
    </row>
    <row r="16" spans="1:19">
      <c r="A16" s="513" t="s">
        <v>1132</v>
      </c>
      <c r="B16" s="514" t="s">
        <v>595</v>
      </c>
      <c r="C16" s="515">
        <v>10</v>
      </c>
      <c r="D16" s="522">
        <v>25</v>
      </c>
      <c r="E16" s="522">
        <v>25</v>
      </c>
      <c r="F16" s="522">
        <v>25</v>
      </c>
      <c r="G16" s="522">
        <v>25</v>
      </c>
      <c r="H16" s="522"/>
      <c r="I16" s="521"/>
      <c r="J16" s="521"/>
      <c r="K16" s="521"/>
      <c r="L16" s="521"/>
      <c r="M16" s="521"/>
      <c r="N16" s="521"/>
      <c r="O16" s="521"/>
      <c r="P16" s="518">
        <f>' orc DER SETEMBRO 2017'!U982</f>
        <v>189790.69999999998</v>
      </c>
      <c r="Q16" s="519">
        <f t="shared" si="0"/>
        <v>25.823491352543464</v>
      </c>
      <c r="S16" s="480">
        <f t="shared" si="1"/>
        <v>100</v>
      </c>
    </row>
    <row r="17" spans="1:19">
      <c r="A17" s="523" t="s">
        <v>1133</v>
      </c>
      <c r="B17" s="514" t="s">
        <v>1100</v>
      </c>
      <c r="C17" s="515">
        <v>11</v>
      </c>
      <c r="D17" s="522">
        <v>25</v>
      </c>
      <c r="E17" s="522">
        <v>25</v>
      </c>
      <c r="F17" s="522">
        <v>25</v>
      </c>
      <c r="G17" s="522">
        <v>25</v>
      </c>
      <c r="H17" s="522"/>
      <c r="I17" s="521"/>
      <c r="J17" s="521"/>
      <c r="K17" s="521"/>
      <c r="L17" s="521"/>
      <c r="M17" s="521"/>
      <c r="N17" s="521"/>
      <c r="O17" s="521"/>
      <c r="P17" s="518">
        <f>' orc DER SETEMBRO 2017'!U1809</f>
        <v>6282.0599999999995</v>
      </c>
      <c r="Q17" s="519">
        <f t="shared" si="0"/>
        <v>0.8547559078825212</v>
      </c>
      <c r="S17" s="480">
        <f t="shared" si="1"/>
        <v>100</v>
      </c>
    </row>
    <row r="18" spans="1:19">
      <c r="A18" s="523"/>
      <c r="B18" s="514"/>
      <c r="C18" s="524">
        <v>6</v>
      </c>
      <c r="D18" s="522"/>
      <c r="E18" s="522"/>
      <c r="F18" s="522"/>
      <c r="G18" s="522"/>
      <c r="H18" s="522"/>
      <c r="I18" s="521"/>
      <c r="J18" s="521"/>
      <c r="K18" s="521"/>
      <c r="L18" s="521"/>
      <c r="M18" s="521"/>
      <c r="N18" s="521"/>
      <c r="O18" s="521"/>
      <c r="P18" s="518"/>
      <c r="Q18" s="519">
        <f t="shared" si="0"/>
        <v>0</v>
      </c>
      <c r="S18" s="480">
        <f t="shared" si="1"/>
        <v>0</v>
      </c>
    </row>
    <row r="19" spans="1:19" hidden="1">
      <c r="A19" s="523"/>
      <c r="B19" s="514"/>
      <c r="C19" s="524">
        <v>7</v>
      </c>
      <c r="D19" s="522"/>
      <c r="E19" s="522"/>
      <c r="F19" s="522"/>
      <c r="G19" s="522"/>
      <c r="H19" s="522"/>
      <c r="I19" s="521"/>
      <c r="J19" s="521"/>
      <c r="K19" s="521"/>
      <c r="L19" s="521"/>
      <c r="M19" s="521"/>
      <c r="N19" s="521"/>
      <c r="O19" s="521"/>
      <c r="P19" s="518"/>
      <c r="Q19" s="519">
        <f t="shared" si="0"/>
        <v>0</v>
      </c>
      <c r="S19" s="480">
        <f t="shared" si="1"/>
        <v>0</v>
      </c>
    </row>
    <row r="20" spans="1:19" hidden="1">
      <c r="A20" s="523"/>
      <c r="B20" s="514"/>
      <c r="C20" s="524">
        <v>6</v>
      </c>
      <c r="D20" s="522"/>
      <c r="E20" s="522"/>
      <c r="F20" s="522"/>
      <c r="G20" s="522"/>
      <c r="H20" s="522"/>
      <c r="I20" s="521"/>
      <c r="J20" s="521"/>
      <c r="K20" s="521"/>
      <c r="L20" s="521"/>
      <c r="M20" s="521"/>
      <c r="N20" s="521"/>
      <c r="O20" s="521"/>
      <c r="P20" s="518"/>
      <c r="Q20" s="519">
        <f t="shared" si="0"/>
        <v>0</v>
      </c>
      <c r="S20" s="480">
        <f t="shared" si="1"/>
        <v>0</v>
      </c>
    </row>
    <row r="21" spans="1:19" hidden="1">
      <c r="A21" s="523"/>
      <c r="B21" s="514"/>
      <c r="C21" s="524">
        <v>6</v>
      </c>
      <c r="D21" s="522"/>
      <c r="E21" s="522"/>
      <c r="F21" s="522"/>
      <c r="G21" s="522"/>
      <c r="H21" s="522"/>
      <c r="I21" s="521"/>
      <c r="J21" s="521"/>
      <c r="K21" s="521"/>
      <c r="L21" s="521"/>
      <c r="M21" s="521"/>
      <c r="N21" s="521"/>
      <c r="O21" s="521"/>
      <c r="P21" s="518"/>
      <c r="Q21" s="519">
        <f t="shared" si="0"/>
        <v>0</v>
      </c>
      <c r="S21" s="480">
        <f t="shared" si="1"/>
        <v>0</v>
      </c>
    </row>
    <row r="22" spans="1:19" hidden="1">
      <c r="A22" s="523"/>
      <c r="B22" s="514"/>
      <c r="C22" s="524">
        <v>7</v>
      </c>
      <c r="D22" s="522"/>
      <c r="E22" s="522"/>
      <c r="F22" s="522"/>
      <c r="G22" s="522"/>
      <c r="H22" s="522"/>
      <c r="I22" s="521"/>
      <c r="J22" s="521"/>
      <c r="K22" s="521"/>
      <c r="L22" s="521"/>
      <c r="M22" s="521"/>
      <c r="N22" s="521"/>
      <c r="O22" s="521"/>
      <c r="P22" s="518"/>
      <c r="Q22" s="519">
        <f t="shared" si="0"/>
        <v>0</v>
      </c>
      <c r="S22" s="480">
        <f t="shared" si="1"/>
        <v>0</v>
      </c>
    </row>
    <row r="23" spans="1:19" hidden="1">
      <c r="A23" s="523"/>
      <c r="B23" s="514"/>
      <c r="C23" s="524">
        <v>8</v>
      </c>
      <c r="D23" s="522"/>
      <c r="E23" s="522"/>
      <c r="F23" s="522"/>
      <c r="G23" s="522"/>
      <c r="H23" s="522"/>
      <c r="I23" s="521"/>
      <c r="J23" s="521"/>
      <c r="K23" s="521"/>
      <c r="L23" s="521"/>
      <c r="M23" s="521"/>
      <c r="N23" s="521"/>
      <c r="O23" s="521"/>
      <c r="P23" s="518"/>
      <c r="Q23" s="519">
        <f t="shared" si="0"/>
        <v>0</v>
      </c>
      <c r="S23" s="480">
        <f t="shared" si="1"/>
        <v>0</v>
      </c>
    </row>
    <row r="24" spans="1:19" hidden="1">
      <c r="A24" s="523"/>
      <c r="B24" s="514"/>
      <c r="C24" s="524">
        <v>8</v>
      </c>
      <c r="D24" s="522"/>
      <c r="E24" s="522"/>
      <c r="F24" s="522"/>
      <c r="G24" s="522"/>
      <c r="H24" s="522"/>
      <c r="I24" s="521"/>
      <c r="J24" s="521"/>
      <c r="K24" s="521"/>
      <c r="L24" s="521"/>
      <c r="M24" s="521"/>
      <c r="N24" s="521"/>
      <c r="O24" s="521"/>
      <c r="P24" s="518"/>
      <c r="Q24" s="519">
        <f t="shared" si="0"/>
        <v>0</v>
      </c>
      <c r="S24" s="480">
        <f t="shared" si="1"/>
        <v>0</v>
      </c>
    </row>
    <row r="25" spans="1:19" ht="13.5" thickBot="1">
      <c r="A25" s="525"/>
      <c r="B25" s="526"/>
      <c r="C25" s="526"/>
      <c r="D25" s="527"/>
      <c r="E25" s="527"/>
      <c r="F25" s="527"/>
      <c r="G25" s="527"/>
      <c r="H25" s="527"/>
      <c r="I25" s="527"/>
      <c r="J25" s="527"/>
      <c r="K25" s="527"/>
      <c r="L25" s="527"/>
      <c r="M25" s="527"/>
      <c r="N25" s="527"/>
      <c r="O25" s="527"/>
      <c r="P25" s="528"/>
      <c r="Q25" s="529"/>
    </row>
    <row r="26" spans="1:19" ht="14.25" thickTop="1" thickBot="1">
      <c r="A26" s="530"/>
      <c r="B26" s="531" t="s">
        <v>1134</v>
      </c>
      <c r="C26" s="532"/>
      <c r="D26" s="533"/>
      <c r="E26" s="533"/>
      <c r="F26" s="533"/>
      <c r="G26" s="533"/>
      <c r="H26" s="533"/>
      <c r="I26" s="533"/>
      <c r="J26" s="533"/>
      <c r="K26" s="533"/>
      <c r="L26" s="533"/>
      <c r="M26" s="533"/>
      <c r="N26" s="533"/>
      <c r="O26" s="533"/>
      <c r="P26" s="534">
        <f>SUM(P7:P25)</f>
        <v>734953.68</v>
      </c>
      <c r="Q26" s="535">
        <f>SUM(Q7:Q24)</f>
        <v>100</v>
      </c>
    </row>
    <row r="27" spans="1:19" ht="18.75" thickTop="1">
      <c r="A27" s="536" t="s">
        <v>1135</v>
      </c>
      <c r="B27" s="537"/>
      <c r="C27" s="537"/>
      <c r="D27" s="538"/>
      <c r="E27" s="538"/>
      <c r="F27" s="538"/>
      <c r="G27" s="538"/>
      <c r="H27" s="538"/>
      <c r="I27" s="538"/>
      <c r="J27" s="538"/>
      <c r="K27" s="538"/>
      <c r="L27" s="538"/>
      <c r="M27" s="538"/>
      <c r="N27" s="538"/>
      <c r="O27" s="538"/>
      <c r="P27" s="538"/>
      <c r="Q27" s="539"/>
    </row>
    <row r="28" spans="1:19" ht="13.5" thickBot="1">
      <c r="A28" s="540" t="s">
        <v>1120</v>
      </c>
      <c r="B28" s="541"/>
      <c r="C28" s="541"/>
      <c r="D28" s="542" t="s">
        <v>1136</v>
      </c>
      <c r="E28" s="542"/>
      <c r="F28" s="542"/>
      <c r="G28" s="542"/>
      <c r="H28" s="542"/>
      <c r="I28" s="542"/>
      <c r="J28" s="542"/>
      <c r="K28" s="542"/>
      <c r="L28" s="542"/>
      <c r="M28" s="542"/>
      <c r="N28" s="542"/>
      <c r="O28" s="542"/>
      <c r="P28" s="543" t="s">
        <v>657</v>
      </c>
      <c r="Q28" s="544" t="s">
        <v>1118</v>
      </c>
    </row>
    <row r="29" spans="1:19" ht="13.5" thickTop="1">
      <c r="A29" s="545"/>
      <c r="B29" s="546"/>
      <c r="C29" s="546"/>
      <c r="D29" s="547">
        <v>1</v>
      </c>
      <c r="E29" s="547">
        <v>2</v>
      </c>
      <c r="F29" s="547">
        <v>3</v>
      </c>
      <c r="G29" s="547">
        <v>4</v>
      </c>
      <c r="H29" s="547">
        <v>5</v>
      </c>
      <c r="I29" s="547">
        <v>6</v>
      </c>
      <c r="J29" s="547">
        <v>7</v>
      </c>
      <c r="K29" s="547">
        <v>8</v>
      </c>
      <c r="L29" s="547">
        <v>8</v>
      </c>
      <c r="M29" s="547">
        <v>8</v>
      </c>
      <c r="N29" s="547">
        <v>8</v>
      </c>
      <c r="O29" s="547">
        <v>8</v>
      </c>
      <c r="P29" s="548" t="s">
        <v>1120</v>
      </c>
      <c r="Q29" s="549" t="s">
        <v>1120</v>
      </c>
    </row>
    <row r="30" spans="1:19" hidden="1">
      <c r="A30" s="550">
        <v>1</v>
      </c>
      <c r="B30" s="551" t="s">
        <v>1137</v>
      </c>
      <c r="C30" s="551" t="s">
        <v>1138</v>
      </c>
      <c r="D30" s="552">
        <f t="shared" ref="D30:O30" si="2">((D7/100)*$P$7)*$Q$2</f>
        <v>446.6056962936766</v>
      </c>
      <c r="E30" s="552">
        <f t="shared" si="2"/>
        <v>0</v>
      </c>
      <c r="F30" s="552">
        <f t="shared" si="2"/>
        <v>0</v>
      </c>
      <c r="G30" s="552">
        <f t="shared" si="2"/>
        <v>0</v>
      </c>
      <c r="H30" s="552">
        <f t="shared" si="2"/>
        <v>0</v>
      </c>
      <c r="I30" s="552">
        <f t="shared" si="2"/>
        <v>0</v>
      </c>
      <c r="J30" s="552">
        <f t="shared" si="2"/>
        <v>0</v>
      </c>
      <c r="K30" s="552">
        <f t="shared" si="2"/>
        <v>0</v>
      </c>
      <c r="L30" s="552">
        <f t="shared" si="2"/>
        <v>0</v>
      </c>
      <c r="M30" s="552">
        <f t="shared" si="2"/>
        <v>0</v>
      </c>
      <c r="N30" s="552">
        <f t="shared" si="2"/>
        <v>0</v>
      </c>
      <c r="O30" s="552">
        <f t="shared" si="2"/>
        <v>0</v>
      </c>
      <c r="P30" s="552">
        <f t="shared" ref="P30:P65" si="3">SUM(D30:O30)</f>
        <v>446.6056962936766</v>
      </c>
      <c r="Q30" s="553">
        <f t="shared" ref="Q30:Q65" si="4">IF($P$70=0,0,(P30/$P$70))</f>
        <v>6.0766509298065786E-4</v>
      </c>
    </row>
    <row r="31" spans="1:19" hidden="1">
      <c r="A31" s="550"/>
      <c r="B31" s="551" t="s">
        <v>1139</v>
      </c>
      <c r="C31" s="551" t="s">
        <v>1138</v>
      </c>
      <c r="D31" s="552">
        <f>((D7/100)*$P$7)*Q3</f>
        <v>1741.6243037063234</v>
      </c>
      <c r="E31" s="552">
        <f t="shared" ref="E31:O31" si="5">((E7/100)*$P$7)*$Q$3</f>
        <v>0</v>
      </c>
      <c r="F31" s="552">
        <f t="shared" si="5"/>
        <v>0</v>
      </c>
      <c r="G31" s="552">
        <f t="shared" si="5"/>
        <v>0</v>
      </c>
      <c r="H31" s="552">
        <f t="shared" si="5"/>
        <v>0</v>
      </c>
      <c r="I31" s="552">
        <f t="shared" si="5"/>
        <v>0</v>
      </c>
      <c r="J31" s="552">
        <f t="shared" si="5"/>
        <v>0</v>
      </c>
      <c r="K31" s="552">
        <f t="shared" si="5"/>
        <v>0</v>
      </c>
      <c r="L31" s="552">
        <f t="shared" si="5"/>
        <v>0</v>
      </c>
      <c r="M31" s="552">
        <f t="shared" si="5"/>
        <v>0</v>
      </c>
      <c r="N31" s="552">
        <f t="shared" si="5"/>
        <v>0</v>
      </c>
      <c r="O31" s="552">
        <f t="shared" si="5"/>
        <v>0</v>
      </c>
      <c r="P31" s="552">
        <f t="shared" si="3"/>
        <v>1741.6243037063234</v>
      </c>
      <c r="Q31" s="553">
        <f t="shared" si="4"/>
        <v>2.3697062156438535E-3</v>
      </c>
      <c r="R31" s="554"/>
    </row>
    <row r="32" spans="1:19" hidden="1">
      <c r="A32" s="550">
        <v>2</v>
      </c>
      <c r="B32" s="551" t="s">
        <v>1137</v>
      </c>
      <c r="C32" s="551" t="s">
        <v>1138</v>
      </c>
      <c r="D32" s="552">
        <f t="shared" ref="D32:O32" si="6">((D8/100)*$P$8)*$Q$2</f>
        <v>0</v>
      </c>
      <c r="E32" s="552">
        <f t="shared" si="6"/>
        <v>0</v>
      </c>
      <c r="F32" s="552">
        <f t="shared" si="6"/>
        <v>0</v>
      </c>
      <c r="G32" s="552">
        <f t="shared" si="6"/>
        <v>0</v>
      </c>
      <c r="H32" s="552">
        <f t="shared" si="6"/>
        <v>0</v>
      </c>
      <c r="I32" s="552">
        <f t="shared" si="6"/>
        <v>0</v>
      </c>
      <c r="J32" s="552">
        <f t="shared" si="6"/>
        <v>0</v>
      </c>
      <c r="K32" s="552">
        <f t="shared" si="6"/>
        <v>0</v>
      </c>
      <c r="L32" s="552">
        <f t="shared" si="6"/>
        <v>0</v>
      </c>
      <c r="M32" s="552">
        <f t="shared" si="6"/>
        <v>0</v>
      </c>
      <c r="N32" s="552">
        <f t="shared" si="6"/>
        <v>0</v>
      </c>
      <c r="O32" s="552">
        <f t="shared" si="6"/>
        <v>0</v>
      </c>
      <c r="P32" s="552">
        <f t="shared" si="3"/>
        <v>0</v>
      </c>
      <c r="Q32" s="553">
        <f t="shared" si="4"/>
        <v>0</v>
      </c>
    </row>
    <row r="33" spans="1:18" hidden="1">
      <c r="A33" s="550"/>
      <c r="B33" s="551" t="s">
        <v>1139</v>
      </c>
      <c r="C33" s="551" t="s">
        <v>1138</v>
      </c>
      <c r="D33" s="552">
        <f t="shared" ref="D33:O33" si="7">((D8/100)*$P$8)*$Q$3</f>
        <v>0</v>
      </c>
      <c r="E33" s="552">
        <f t="shared" si="7"/>
        <v>0</v>
      </c>
      <c r="F33" s="552">
        <f t="shared" si="7"/>
        <v>0</v>
      </c>
      <c r="G33" s="552">
        <f t="shared" si="7"/>
        <v>0</v>
      </c>
      <c r="H33" s="552">
        <f t="shared" si="7"/>
        <v>0</v>
      </c>
      <c r="I33" s="552">
        <f t="shared" si="7"/>
        <v>0</v>
      </c>
      <c r="J33" s="552">
        <f t="shared" si="7"/>
        <v>0</v>
      </c>
      <c r="K33" s="552">
        <f t="shared" si="7"/>
        <v>0</v>
      </c>
      <c r="L33" s="552">
        <f t="shared" si="7"/>
        <v>0</v>
      </c>
      <c r="M33" s="552">
        <f t="shared" si="7"/>
        <v>0</v>
      </c>
      <c r="N33" s="552">
        <f t="shared" si="7"/>
        <v>0</v>
      </c>
      <c r="O33" s="552">
        <f t="shared" si="7"/>
        <v>0</v>
      </c>
      <c r="P33" s="552">
        <f t="shared" si="3"/>
        <v>0</v>
      </c>
      <c r="Q33" s="553">
        <f t="shared" si="4"/>
        <v>0</v>
      </c>
      <c r="R33" s="554"/>
    </row>
    <row r="34" spans="1:18" hidden="1">
      <c r="A34" s="550">
        <v>3</v>
      </c>
      <c r="B34" s="551" t="s">
        <v>1137</v>
      </c>
      <c r="C34" s="551" t="s">
        <v>1138</v>
      </c>
      <c r="D34" s="552">
        <f t="shared" ref="D34:O34" si="8">((D9/100)*$P$9)*$Q$2</f>
        <v>0</v>
      </c>
      <c r="E34" s="552">
        <f t="shared" si="8"/>
        <v>0</v>
      </c>
      <c r="F34" s="552">
        <f t="shared" si="8"/>
        <v>0</v>
      </c>
      <c r="G34" s="552">
        <f t="shared" si="8"/>
        <v>0</v>
      </c>
      <c r="H34" s="552">
        <f t="shared" si="8"/>
        <v>0</v>
      </c>
      <c r="I34" s="552">
        <f t="shared" si="8"/>
        <v>0</v>
      </c>
      <c r="J34" s="552">
        <f t="shared" si="8"/>
        <v>0</v>
      </c>
      <c r="K34" s="552">
        <f t="shared" si="8"/>
        <v>0</v>
      </c>
      <c r="L34" s="552">
        <f t="shared" si="8"/>
        <v>0</v>
      </c>
      <c r="M34" s="552">
        <f t="shared" si="8"/>
        <v>0</v>
      </c>
      <c r="N34" s="552">
        <f t="shared" si="8"/>
        <v>0</v>
      </c>
      <c r="O34" s="552">
        <f t="shared" si="8"/>
        <v>0</v>
      </c>
      <c r="P34" s="552">
        <f t="shared" si="3"/>
        <v>0</v>
      </c>
      <c r="Q34" s="553">
        <f t="shared" si="4"/>
        <v>0</v>
      </c>
    </row>
    <row r="35" spans="1:18" hidden="1">
      <c r="A35" s="550"/>
      <c r="B35" s="551" t="s">
        <v>1139</v>
      </c>
      <c r="C35" s="551" t="s">
        <v>1138</v>
      </c>
      <c r="D35" s="552">
        <f t="shared" ref="D35:O35" si="9">((D9/100)*$P$9)*$Q$3</f>
        <v>0</v>
      </c>
      <c r="E35" s="552">
        <f t="shared" si="9"/>
        <v>0</v>
      </c>
      <c r="F35" s="552">
        <f t="shared" si="9"/>
        <v>0</v>
      </c>
      <c r="G35" s="552">
        <f t="shared" si="9"/>
        <v>0</v>
      </c>
      <c r="H35" s="552">
        <f t="shared" si="9"/>
        <v>0</v>
      </c>
      <c r="I35" s="552">
        <f t="shared" si="9"/>
        <v>0</v>
      </c>
      <c r="J35" s="552">
        <f t="shared" si="9"/>
        <v>0</v>
      </c>
      <c r="K35" s="552">
        <f t="shared" si="9"/>
        <v>0</v>
      </c>
      <c r="L35" s="552">
        <f t="shared" si="9"/>
        <v>0</v>
      </c>
      <c r="M35" s="552">
        <f t="shared" si="9"/>
        <v>0</v>
      </c>
      <c r="N35" s="552">
        <f t="shared" si="9"/>
        <v>0</v>
      </c>
      <c r="O35" s="552">
        <f t="shared" si="9"/>
        <v>0</v>
      </c>
      <c r="P35" s="552">
        <f t="shared" si="3"/>
        <v>0</v>
      </c>
      <c r="Q35" s="553">
        <f t="shared" si="4"/>
        <v>0</v>
      </c>
      <c r="R35" s="554"/>
    </row>
    <row r="36" spans="1:18" hidden="1">
      <c r="A36" s="550">
        <v>4</v>
      </c>
      <c r="B36" s="551" t="s">
        <v>1137</v>
      </c>
      <c r="C36" s="551" t="s">
        <v>1138</v>
      </c>
      <c r="D36" s="552">
        <f>((D10/100)*$P$10)*Q2</f>
        <v>23850.904624356735</v>
      </c>
      <c r="E36" s="552">
        <f t="shared" ref="E36:O36" si="10">((E10/100)*$P$10)*$Q$2</f>
        <v>23850.904624356735</v>
      </c>
      <c r="F36" s="552">
        <f t="shared" si="10"/>
        <v>23850.904624356735</v>
      </c>
      <c r="G36" s="552">
        <f t="shared" si="10"/>
        <v>23850.904624356735</v>
      </c>
      <c r="H36" s="552">
        <f t="shared" si="10"/>
        <v>0</v>
      </c>
      <c r="I36" s="552">
        <f t="shared" si="10"/>
        <v>0</v>
      </c>
      <c r="J36" s="552">
        <f t="shared" si="10"/>
        <v>0</v>
      </c>
      <c r="K36" s="552">
        <f t="shared" si="10"/>
        <v>0</v>
      </c>
      <c r="L36" s="552">
        <f t="shared" si="10"/>
        <v>0</v>
      </c>
      <c r="M36" s="552">
        <f t="shared" si="10"/>
        <v>0</v>
      </c>
      <c r="N36" s="552">
        <f t="shared" si="10"/>
        <v>0</v>
      </c>
      <c r="O36" s="552">
        <f t="shared" si="10"/>
        <v>0</v>
      </c>
      <c r="P36" s="552">
        <f t="shared" si="3"/>
        <v>95403.618497426942</v>
      </c>
      <c r="Q36" s="553">
        <f t="shared" si="4"/>
        <v>0.12980902211065459</v>
      </c>
    </row>
    <row r="37" spans="1:18" hidden="1">
      <c r="A37" s="550"/>
      <c r="B37" s="551" t="s">
        <v>1139</v>
      </c>
      <c r="C37" s="551" t="s">
        <v>1138</v>
      </c>
      <c r="D37" s="552">
        <f t="shared" ref="D37:O37" si="11">((D10/100)*$P$10)*$Q$3</f>
        <v>93011.162875643262</v>
      </c>
      <c r="E37" s="552">
        <f t="shared" si="11"/>
        <v>93011.162875643262</v>
      </c>
      <c r="F37" s="552">
        <f t="shared" si="11"/>
        <v>93011.162875643262</v>
      </c>
      <c r="G37" s="552">
        <f t="shared" si="11"/>
        <v>93011.162875643262</v>
      </c>
      <c r="H37" s="552">
        <f t="shared" si="11"/>
        <v>0</v>
      </c>
      <c r="I37" s="552">
        <f t="shared" si="11"/>
        <v>0</v>
      </c>
      <c r="J37" s="552">
        <f t="shared" si="11"/>
        <v>0</v>
      </c>
      <c r="K37" s="552">
        <f t="shared" si="11"/>
        <v>0</v>
      </c>
      <c r="L37" s="552">
        <f t="shared" si="11"/>
        <v>0</v>
      </c>
      <c r="M37" s="552">
        <f t="shared" si="11"/>
        <v>0</v>
      </c>
      <c r="N37" s="552">
        <f t="shared" si="11"/>
        <v>0</v>
      </c>
      <c r="O37" s="552">
        <f t="shared" si="11"/>
        <v>0</v>
      </c>
      <c r="P37" s="552">
        <f t="shared" si="3"/>
        <v>372044.65150257305</v>
      </c>
      <c r="Q37" s="553">
        <f t="shared" si="4"/>
        <v>0.50621510120552504</v>
      </c>
      <c r="R37" s="554"/>
    </row>
    <row r="38" spans="1:18" hidden="1">
      <c r="A38" s="550">
        <v>5</v>
      </c>
      <c r="B38" s="551" t="s">
        <v>1137</v>
      </c>
      <c r="C38" s="551" t="s">
        <v>1138</v>
      </c>
      <c r="D38" s="552">
        <f t="shared" ref="D38:O38" si="12">((D11/100)*$P$11)*$Q$2</f>
        <v>0</v>
      </c>
      <c r="E38" s="552">
        <f t="shared" si="12"/>
        <v>0</v>
      </c>
      <c r="F38" s="552">
        <f t="shared" si="12"/>
        <v>0</v>
      </c>
      <c r="G38" s="552">
        <f t="shared" si="12"/>
        <v>0</v>
      </c>
      <c r="H38" s="552">
        <f t="shared" si="12"/>
        <v>0</v>
      </c>
      <c r="I38" s="552">
        <f t="shared" si="12"/>
        <v>0</v>
      </c>
      <c r="J38" s="552">
        <f t="shared" si="12"/>
        <v>0</v>
      </c>
      <c r="K38" s="552">
        <f t="shared" si="12"/>
        <v>0</v>
      </c>
      <c r="L38" s="552">
        <f t="shared" si="12"/>
        <v>0</v>
      </c>
      <c r="M38" s="552">
        <f t="shared" si="12"/>
        <v>0</v>
      </c>
      <c r="N38" s="552">
        <f t="shared" si="12"/>
        <v>0</v>
      </c>
      <c r="O38" s="552">
        <f t="shared" si="12"/>
        <v>0</v>
      </c>
      <c r="P38" s="552">
        <f t="shared" si="3"/>
        <v>0</v>
      </c>
      <c r="Q38" s="553">
        <f t="shared" si="4"/>
        <v>0</v>
      </c>
    </row>
    <row r="39" spans="1:18" hidden="1">
      <c r="A39" s="550"/>
      <c r="B39" s="551" t="s">
        <v>1139</v>
      </c>
      <c r="C39" s="551" t="s">
        <v>1138</v>
      </c>
      <c r="D39" s="552">
        <f t="shared" ref="D39:O39" si="13">((D11/100)*$P$11)*$Q$3</f>
        <v>0</v>
      </c>
      <c r="E39" s="552">
        <f t="shared" si="13"/>
        <v>0</v>
      </c>
      <c r="F39" s="552">
        <f t="shared" si="13"/>
        <v>0</v>
      </c>
      <c r="G39" s="552">
        <f t="shared" si="13"/>
        <v>0</v>
      </c>
      <c r="H39" s="552">
        <f t="shared" si="13"/>
        <v>0</v>
      </c>
      <c r="I39" s="552">
        <f t="shared" si="13"/>
        <v>0</v>
      </c>
      <c r="J39" s="552">
        <f t="shared" si="13"/>
        <v>0</v>
      </c>
      <c r="K39" s="552">
        <f t="shared" si="13"/>
        <v>0</v>
      </c>
      <c r="L39" s="552">
        <f t="shared" si="13"/>
        <v>0</v>
      </c>
      <c r="M39" s="552">
        <f t="shared" si="13"/>
        <v>0</v>
      </c>
      <c r="N39" s="552">
        <f t="shared" si="13"/>
        <v>0</v>
      </c>
      <c r="O39" s="552">
        <f t="shared" si="13"/>
        <v>0</v>
      </c>
      <c r="P39" s="552">
        <f t="shared" si="3"/>
        <v>0</v>
      </c>
      <c r="Q39" s="553">
        <f t="shared" si="4"/>
        <v>0</v>
      </c>
      <c r="R39" s="554"/>
    </row>
    <row r="40" spans="1:18" hidden="1">
      <c r="A40" s="550">
        <v>6</v>
      </c>
      <c r="B40" s="551" t="s">
        <v>1137</v>
      </c>
      <c r="C40" s="551" t="s">
        <v>1138</v>
      </c>
      <c r="D40" s="552">
        <f t="shared" ref="D40:O40" si="14">((D12/100)*$P$12)*$Q$2</f>
        <v>0</v>
      </c>
      <c r="E40" s="552">
        <f t="shared" si="14"/>
        <v>2929.5701329096005</v>
      </c>
      <c r="F40" s="552">
        <f t="shared" si="14"/>
        <v>2929.5701329096005</v>
      </c>
      <c r="G40" s="552">
        <f t="shared" si="14"/>
        <v>3906.093510546134</v>
      </c>
      <c r="H40" s="552">
        <f t="shared" si="14"/>
        <v>0</v>
      </c>
      <c r="I40" s="552">
        <f t="shared" si="14"/>
        <v>0</v>
      </c>
      <c r="J40" s="552">
        <f t="shared" si="14"/>
        <v>0</v>
      </c>
      <c r="K40" s="552">
        <f t="shared" si="14"/>
        <v>0</v>
      </c>
      <c r="L40" s="552">
        <f t="shared" si="14"/>
        <v>0</v>
      </c>
      <c r="M40" s="552">
        <f t="shared" si="14"/>
        <v>0</v>
      </c>
      <c r="N40" s="552">
        <f t="shared" si="14"/>
        <v>0</v>
      </c>
      <c r="O40" s="552">
        <f t="shared" si="14"/>
        <v>0</v>
      </c>
      <c r="P40" s="552">
        <f t="shared" si="3"/>
        <v>9765.2337763653341</v>
      </c>
      <c r="Q40" s="553">
        <f t="shared" si="4"/>
        <v>1.3286869692747623E-2</v>
      </c>
    </row>
    <row r="41" spans="1:18" hidden="1">
      <c r="A41" s="550"/>
      <c r="B41" s="551" t="s">
        <v>1139</v>
      </c>
      <c r="C41" s="551" t="s">
        <v>1138</v>
      </c>
      <c r="D41" s="552">
        <f t="shared" ref="D41:O41" si="15">((D12/100)*$P$12)*$Q$3</f>
        <v>0</v>
      </c>
      <c r="E41" s="552">
        <f t="shared" si="15"/>
        <v>11424.4188670904</v>
      </c>
      <c r="F41" s="552">
        <f t="shared" si="15"/>
        <v>11424.4188670904</v>
      </c>
      <c r="G41" s="552">
        <f t="shared" si="15"/>
        <v>15232.558489453868</v>
      </c>
      <c r="H41" s="552">
        <f t="shared" si="15"/>
        <v>0</v>
      </c>
      <c r="I41" s="552">
        <f t="shared" si="15"/>
        <v>0</v>
      </c>
      <c r="J41" s="552">
        <f t="shared" si="15"/>
        <v>0</v>
      </c>
      <c r="K41" s="552">
        <f t="shared" si="15"/>
        <v>0</v>
      </c>
      <c r="L41" s="552">
        <f t="shared" si="15"/>
        <v>0</v>
      </c>
      <c r="M41" s="552">
        <f t="shared" si="15"/>
        <v>0</v>
      </c>
      <c r="N41" s="552">
        <f t="shared" si="15"/>
        <v>0</v>
      </c>
      <c r="O41" s="552">
        <f t="shared" si="15"/>
        <v>0</v>
      </c>
      <c r="P41" s="552">
        <f t="shared" si="3"/>
        <v>38081.396223634671</v>
      </c>
      <c r="Q41" s="553">
        <f t="shared" si="4"/>
        <v>5.181468881635462E-2</v>
      </c>
      <c r="R41" s="554"/>
    </row>
    <row r="42" spans="1:18" hidden="1">
      <c r="A42" s="550">
        <v>7</v>
      </c>
      <c r="B42" s="551" t="s">
        <v>1137</v>
      </c>
      <c r="C42" s="551" t="s">
        <v>1138</v>
      </c>
      <c r="D42" s="552">
        <f t="shared" ref="D42:O42" si="16">((D13/100)*$P$13)*$Q$2</f>
        <v>0</v>
      </c>
      <c r="E42" s="552">
        <f t="shared" si="16"/>
        <v>0</v>
      </c>
      <c r="F42" s="552">
        <f t="shared" si="16"/>
        <v>2183.5855696375315</v>
      </c>
      <c r="G42" s="552">
        <f t="shared" si="16"/>
        <v>2183.5855696375315</v>
      </c>
      <c r="H42" s="552">
        <f t="shared" si="16"/>
        <v>0</v>
      </c>
      <c r="I42" s="552">
        <f t="shared" si="16"/>
        <v>0</v>
      </c>
      <c r="J42" s="552">
        <f t="shared" si="16"/>
        <v>0</v>
      </c>
      <c r="K42" s="552">
        <f t="shared" si="16"/>
        <v>0</v>
      </c>
      <c r="L42" s="552">
        <f t="shared" si="16"/>
        <v>0</v>
      </c>
      <c r="M42" s="552">
        <f t="shared" si="16"/>
        <v>0</v>
      </c>
      <c r="N42" s="552">
        <f t="shared" si="16"/>
        <v>0</v>
      </c>
      <c r="O42" s="552">
        <f t="shared" si="16"/>
        <v>0</v>
      </c>
      <c r="P42" s="552">
        <f>SUM(D42:O42)</f>
        <v>4367.1711392750631</v>
      </c>
      <c r="Q42" s="553">
        <f t="shared" si="4"/>
        <v>5.9421039150046344E-3</v>
      </c>
    </row>
    <row r="43" spans="1:18" hidden="1">
      <c r="A43" s="550"/>
      <c r="B43" s="551" t="s">
        <v>1139</v>
      </c>
      <c r="C43" s="551" t="s">
        <v>1138</v>
      </c>
      <c r="D43" s="552">
        <f t="shared" ref="D43:O43" si="17">((D13/100)*$P$13)*$Q$3</f>
        <v>0</v>
      </c>
      <c r="E43" s="552">
        <f t="shared" si="17"/>
        <v>0</v>
      </c>
      <c r="F43" s="552">
        <f t="shared" si="17"/>
        <v>8515.3094303624694</v>
      </c>
      <c r="G43" s="552">
        <f t="shared" si="17"/>
        <v>8515.3094303624694</v>
      </c>
      <c r="H43" s="552">
        <f t="shared" si="17"/>
        <v>0</v>
      </c>
      <c r="I43" s="552">
        <f t="shared" si="17"/>
        <v>0</v>
      </c>
      <c r="J43" s="552">
        <f t="shared" si="17"/>
        <v>0</v>
      </c>
      <c r="K43" s="552">
        <f t="shared" si="17"/>
        <v>0</v>
      </c>
      <c r="L43" s="552">
        <f t="shared" si="17"/>
        <v>0</v>
      </c>
      <c r="M43" s="552">
        <f t="shared" si="17"/>
        <v>0</v>
      </c>
      <c r="N43" s="552">
        <f t="shared" si="17"/>
        <v>0</v>
      </c>
      <c r="O43" s="552">
        <f t="shared" si="17"/>
        <v>0</v>
      </c>
      <c r="P43" s="552">
        <f>SUM(D43:O43)</f>
        <v>17030.618860724939</v>
      </c>
      <c r="Q43" s="553">
        <f t="shared" si="4"/>
        <v>2.3172370346829122E-2</v>
      </c>
      <c r="R43" s="554"/>
    </row>
    <row r="44" spans="1:18" hidden="1">
      <c r="A44" s="550">
        <v>8</v>
      </c>
      <c r="B44" s="551" t="s">
        <v>1137</v>
      </c>
      <c r="C44" s="551" t="s">
        <v>1138</v>
      </c>
      <c r="D44" s="552">
        <f t="shared" ref="D44:O44" si="18">((D14/100)*$P$14)*$Q$2</f>
        <v>0</v>
      </c>
      <c r="E44" s="552">
        <f t="shared" si="18"/>
        <v>0</v>
      </c>
      <c r="F44" s="552">
        <f t="shared" si="18"/>
        <v>0</v>
      </c>
      <c r="G44" s="552">
        <f t="shared" si="18"/>
        <v>0</v>
      </c>
      <c r="H44" s="552">
        <f t="shared" si="18"/>
        <v>0</v>
      </c>
      <c r="I44" s="552">
        <f t="shared" si="18"/>
        <v>0</v>
      </c>
      <c r="J44" s="552">
        <f t="shared" si="18"/>
        <v>0</v>
      </c>
      <c r="K44" s="552">
        <f t="shared" si="18"/>
        <v>0</v>
      </c>
      <c r="L44" s="552">
        <f t="shared" si="18"/>
        <v>0</v>
      </c>
      <c r="M44" s="552">
        <f t="shared" si="18"/>
        <v>0</v>
      </c>
      <c r="N44" s="552">
        <f t="shared" si="18"/>
        <v>0</v>
      </c>
      <c r="O44" s="552">
        <f t="shared" si="18"/>
        <v>0</v>
      </c>
      <c r="P44" s="552">
        <f t="shared" si="3"/>
        <v>0</v>
      </c>
      <c r="Q44" s="553">
        <f t="shared" si="4"/>
        <v>0</v>
      </c>
    </row>
    <row r="45" spans="1:18" hidden="1">
      <c r="A45" s="550"/>
      <c r="B45" s="551" t="s">
        <v>1139</v>
      </c>
      <c r="C45" s="551" t="s">
        <v>1138</v>
      </c>
      <c r="D45" s="552">
        <f t="shared" ref="D45:O45" si="19">((D14/100)*$P$14)*$Q$3</f>
        <v>0</v>
      </c>
      <c r="E45" s="552">
        <f t="shared" si="19"/>
        <v>0</v>
      </c>
      <c r="F45" s="552">
        <f t="shared" si="19"/>
        <v>0</v>
      </c>
      <c r="G45" s="552">
        <f t="shared" si="19"/>
        <v>0</v>
      </c>
      <c r="H45" s="552">
        <f t="shared" si="19"/>
        <v>0</v>
      </c>
      <c r="I45" s="552">
        <f t="shared" si="19"/>
        <v>0</v>
      </c>
      <c r="J45" s="552">
        <f t="shared" si="19"/>
        <v>0</v>
      </c>
      <c r="K45" s="552">
        <f t="shared" si="19"/>
        <v>0</v>
      </c>
      <c r="L45" s="552">
        <f t="shared" si="19"/>
        <v>0</v>
      </c>
      <c r="M45" s="552">
        <f t="shared" si="19"/>
        <v>0</v>
      </c>
      <c r="N45" s="552">
        <f t="shared" si="19"/>
        <v>0</v>
      </c>
      <c r="O45" s="552">
        <f t="shared" si="19"/>
        <v>0</v>
      </c>
      <c r="P45" s="552">
        <f t="shared" si="3"/>
        <v>0</v>
      </c>
      <c r="Q45" s="553">
        <f t="shared" si="4"/>
        <v>0</v>
      </c>
      <c r="R45" s="554"/>
    </row>
    <row r="46" spans="1:18" hidden="1">
      <c r="A46" s="550">
        <v>9</v>
      </c>
      <c r="B46" s="551" t="s">
        <v>1137</v>
      </c>
      <c r="C46" s="551" t="s">
        <v>1138</v>
      </c>
      <c r="D46" s="552">
        <f t="shared" ref="D46:O46" si="20">((D15/100)*$P$15)*$Q$2</f>
        <v>0</v>
      </c>
      <c r="E46" s="552">
        <f t="shared" si="20"/>
        <v>0</v>
      </c>
      <c r="F46" s="552">
        <f t="shared" si="20"/>
        <v>0</v>
      </c>
      <c r="G46" s="552">
        <f t="shared" si="20"/>
        <v>0</v>
      </c>
      <c r="H46" s="552">
        <f t="shared" si="20"/>
        <v>0</v>
      </c>
      <c r="I46" s="552">
        <f t="shared" si="20"/>
        <v>0</v>
      </c>
      <c r="J46" s="552">
        <f t="shared" si="20"/>
        <v>0</v>
      </c>
      <c r="K46" s="552">
        <f t="shared" si="20"/>
        <v>0</v>
      </c>
      <c r="L46" s="552">
        <f t="shared" si="20"/>
        <v>0</v>
      </c>
      <c r="M46" s="552">
        <f t="shared" si="20"/>
        <v>0</v>
      </c>
      <c r="N46" s="552">
        <f t="shared" si="20"/>
        <v>0</v>
      </c>
      <c r="O46" s="552">
        <f t="shared" si="20"/>
        <v>0</v>
      </c>
      <c r="P46" s="552">
        <f>SUM(D46:O46)</f>
        <v>0</v>
      </c>
      <c r="Q46" s="553">
        <f t="shared" si="4"/>
        <v>0</v>
      </c>
    </row>
    <row r="47" spans="1:18" hidden="1">
      <c r="A47" s="550"/>
      <c r="B47" s="551" t="s">
        <v>1139</v>
      </c>
      <c r="C47" s="551" t="s">
        <v>1138</v>
      </c>
      <c r="D47" s="552">
        <f t="shared" ref="D47:O47" si="21">((D15/100)*$P$15)*$Q$3</f>
        <v>0</v>
      </c>
      <c r="E47" s="552">
        <f t="shared" si="21"/>
        <v>0</v>
      </c>
      <c r="F47" s="552">
        <f t="shared" si="21"/>
        <v>0</v>
      </c>
      <c r="G47" s="552">
        <f t="shared" si="21"/>
        <v>0</v>
      </c>
      <c r="H47" s="552">
        <f t="shared" si="21"/>
        <v>0</v>
      </c>
      <c r="I47" s="552">
        <f t="shared" si="21"/>
        <v>0</v>
      </c>
      <c r="J47" s="552">
        <f t="shared" si="21"/>
        <v>0</v>
      </c>
      <c r="K47" s="552">
        <f t="shared" si="21"/>
        <v>0</v>
      </c>
      <c r="L47" s="552">
        <f t="shared" si="21"/>
        <v>0</v>
      </c>
      <c r="M47" s="552">
        <f t="shared" si="21"/>
        <v>0</v>
      </c>
      <c r="N47" s="552">
        <f t="shared" si="21"/>
        <v>0</v>
      </c>
      <c r="O47" s="552">
        <f t="shared" si="21"/>
        <v>0</v>
      </c>
      <c r="P47" s="552">
        <f>SUM(D47:O47)</f>
        <v>0</v>
      </c>
      <c r="Q47" s="553">
        <f t="shared" si="4"/>
        <v>0</v>
      </c>
      <c r="R47" s="554"/>
    </row>
    <row r="48" spans="1:18" hidden="1">
      <c r="A48" s="550">
        <v>10</v>
      </c>
      <c r="B48" s="551" t="s">
        <v>1137</v>
      </c>
      <c r="C48" s="551" t="s">
        <v>1138</v>
      </c>
      <c r="D48" s="552">
        <f t="shared" ref="D48:O48" si="22">((D16/100)*$P$16)*$Q$2</f>
        <v>9683.8092572037986</v>
      </c>
      <c r="E48" s="552">
        <f t="shared" si="22"/>
        <v>9683.8092572037986</v>
      </c>
      <c r="F48" s="552">
        <f t="shared" si="22"/>
        <v>9683.8092572037986</v>
      </c>
      <c r="G48" s="552">
        <f t="shared" si="22"/>
        <v>9683.8092572037986</v>
      </c>
      <c r="H48" s="552">
        <f t="shared" si="22"/>
        <v>0</v>
      </c>
      <c r="I48" s="552">
        <f t="shared" si="22"/>
        <v>0</v>
      </c>
      <c r="J48" s="552">
        <f t="shared" si="22"/>
        <v>0</v>
      </c>
      <c r="K48" s="552">
        <f t="shared" si="22"/>
        <v>0</v>
      </c>
      <c r="L48" s="552">
        <f t="shared" si="22"/>
        <v>0</v>
      </c>
      <c r="M48" s="552">
        <f t="shared" si="22"/>
        <v>0</v>
      </c>
      <c r="N48" s="552">
        <f t="shared" si="22"/>
        <v>0</v>
      </c>
      <c r="O48" s="552">
        <f t="shared" si="22"/>
        <v>0</v>
      </c>
      <c r="P48" s="552">
        <f t="shared" si="3"/>
        <v>38735.237028815194</v>
      </c>
      <c r="Q48" s="553">
        <f t="shared" si="4"/>
        <v>5.2704324208316361E-2</v>
      </c>
    </row>
    <row r="49" spans="1:18" hidden="1">
      <c r="A49" s="550"/>
      <c r="B49" s="551" t="s">
        <v>1139</v>
      </c>
      <c r="C49" s="551" t="s">
        <v>1138</v>
      </c>
      <c r="D49" s="552">
        <f t="shared" ref="D49:O49" si="23">((D16/100)*$P$16)*$Q$3</f>
        <v>37763.865742796195</v>
      </c>
      <c r="E49" s="552">
        <f t="shared" si="23"/>
        <v>37763.865742796195</v>
      </c>
      <c r="F49" s="552">
        <f t="shared" si="23"/>
        <v>37763.865742796195</v>
      </c>
      <c r="G49" s="552">
        <f t="shared" si="23"/>
        <v>37763.865742796195</v>
      </c>
      <c r="H49" s="552">
        <f t="shared" si="23"/>
        <v>0</v>
      </c>
      <c r="I49" s="552">
        <f t="shared" si="23"/>
        <v>0</v>
      </c>
      <c r="J49" s="552">
        <f t="shared" si="23"/>
        <v>0</v>
      </c>
      <c r="K49" s="552">
        <f t="shared" si="23"/>
        <v>0</v>
      </c>
      <c r="L49" s="552">
        <f t="shared" si="23"/>
        <v>0</v>
      </c>
      <c r="M49" s="552">
        <f t="shared" si="23"/>
        <v>0</v>
      </c>
      <c r="N49" s="552">
        <f t="shared" si="23"/>
        <v>0</v>
      </c>
      <c r="O49" s="552">
        <f t="shared" si="23"/>
        <v>0</v>
      </c>
      <c r="P49" s="552">
        <f t="shared" si="3"/>
        <v>151055.46297118478</v>
      </c>
      <c r="Q49" s="553">
        <f t="shared" si="4"/>
        <v>0.20553058931711832</v>
      </c>
      <c r="R49" s="554"/>
    </row>
    <row r="50" spans="1:18" hidden="1">
      <c r="A50" s="550">
        <v>11</v>
      </c>
      <c r="B50" s="551" t="s">
        <v>1137</v>
      </c>
      <c r="C50" s="551" t="s">
        <v>1138</v>
      </c>
      <c r="D50" s="552">
        <f t="shared" ref="D50:O50" si="24">((D17/100)*$P$17)*$Q$2</f>
        <v>320.53346545594542</v>
      </c>
      <c r="E50" s="552">
        <f t="shared" si="24"/>
        <v>320.53346545594542</v>
      </c>
      <c r="F50" s="552">
        <f t="shared" si="24"/>
        <v>320.53346545594542</v>
      </c>
      <c r="G50" s="552">
        <f t="shared" si="24"/>
        <v>320.53346545594542</v>
      </c>
      <c r="H50" s="552">
        <f t="shared" si="24"/>
        <v>0</v>
      </c>
      <c r="I50" s="552">
        <f t="shared" si="24"/>
        <v>0</v>
      </c>
      <c r="J50" s="552">
        <f t="shared" si="24"/>
        <v>0</v>
      </c>
      <c r="K50" s="552">
        <f t="shared" si="24"/>
        <v>0</v>
      </c>
      <c r="L50" s="552">
        <f t="shared" si="24"/>
        <v>0</v>
      </c>
      <c r="M50" s="552">
        <f t="shared" si="24"/>
        <v>0</v>
      </c>
      <c r="N50" s="552">
        <f t="shared" si="24"/>
        <v>0</v>
      </c>
      <c r="O50" s="552">
        <f t="shared" si="24"/>
        <v>0</v>
      </c>
      <c r="P50" s="552">
        <f>SUM(D50:O50)</f>
        <v>1282.1338618237817</v>
      </c>
      <c r="Q50" s="553">
        <f t="shared" si="4"/>
        <v>1.7445097517217437E-3</v>
      </c>
    </row>
    <row r="51" spans="1:18" hidden="1">
      <c r="A51" s="550"/>
      <c r="B51" s="551" t="s">
        <v>1139</v>
      </c>
      <c r="C51" s="551" t="s">
        <v>1138</v>
      </c>
      <c r="D51" s="552">
        <f t="shared" ref="D51:O51" si="25">((D17/100)*$P$17)*$Q$3</f>
        <v>1249.9815345440545</v>
      </c>
      <c r="E51" s="552">
        <f t="shared" si="25"/>
        <v>1249.9815345440545</v>
      </c>
      <c r="F51" s="552">
        <f t="shared" si="25"/>
        <v>1249.9815345440545</v>
      </c>
      <c r="G51" s="552">
        <f t="shared" si="25"/>
        <v>1249.9815345440545</v>
      </c>
      <c r="H51" s="552">
        <f t="shared" si="25"/>
        <v>0</v>
      </c>
      <c r="I51" s="552">
        <f t="shared" si="25"/>
        <v>0</v>
      </c>
      <c r="J51" s="552">
        <f t="shared" si="25"/>
        <v>0</v>
      </c>
      <c r="K51" s="552">
        <f t="shared" si="25"/>
        <v>0</v>
      </c>
      <c r="L51" s="552">
        <f t="shared" si="25"/>
        <v>0</v>
      </c>
      <c r="M51" s="552">
        <f t="shared" si="25"/>
        <v>0</v>
      </c>
      <c r="N51" s="552">
        <f t="shared" si="25"/>
        <v>0</v>
      </c>
      <c r="O51" s="552">
        <f t="shared" si="25"/>
        <v>0</v>
      </c>
      <c r="P51" s="552">
        <f>SUM(D51:O51)</f>
        <v>4999.926138176218</v>
      </c>
      <c r="Q51" s="553">
        <f t="shared" si="4"/>
        <v>6.8030493271034696E-3</v>
      </c>
      <c r="R51" s="554"/>
    </row>
    <row r="52" spans="1:18" hidden="1">
      <c r="A52" s="550">
        <v>12</v>
      </c>
      <c r="B52" s="551" t="s">
        <v>1137</v>
      </c>
      <c r="C52" s="551" t="s">
        <v>1138</v>
      </c>
      <c r="D52" s="552">
        <f t="shared" ref="D52:O52" si="26">((D18/100)*$P$18)*$Q$2</f>
        <v>0</v>
      </c>
      <c r="E52" s="552">
        <f t="shared" si="26"/>
        <v>0</v>
      </c>
      <c r="F52" s="552">
        <f t="shared" si="26"/>
        <v>0</v>
      </c>
      <c r="G52" s="552">
        <f t="shared" si="26"/>
        <v>0</v>
      </c>
      <c r="H52" s="552">
        <f t="shared" si="26"/>
        <v>0</v>
      </c>
      <c r="I52" s="552">
        <f t="shared" si="26"/>
        <v>0</v>
      </c>
      <c r="J52" s="552">
        <f t="shared" si="26"/>
        <v>0</v>
      </c>
      <c r="K52" s="552">
        <f t="shared" si="26"/>
        <v>0</v>
      </c>
      <c r="L52" s="552">
        <f t="shared" si="26"/>
        <v>0</v>
      </c>
      <c r="M52" s="552">
        <f t="shared" si="26"/>
        <v>0</v>
      </c>
      <c r="N52" s="552">
        <f t="shared" si="26"/>
        <v>0</v>
      </c>
      <c r="O52" s="552">
        <f t="shared" si="26"/>
        <v>0</v>
      </c>
      <c r="P52" s="552">
        <f t="shared" si="3"/>
        <v>0</v>
      </c>
      <c r="Q52" s="553">
        <f t="shared" si="4"/>
        <v>0</v>
      </c>
    </row>
    <row r="53" spans="1:18" hidden="1">
      <c r="A53" s="550"/>
      <c r="B53" s="551" t="s">
        <v>1139</v>
      </c>
      <c r="C53" s="551" t="s">
        <v>1138</v>
      </c>
      <c r="D53" s="552">
        <f t="shared" ref="D53:O53" si="27">((D18/100)*$P$18)*$Q$3</f>
        <v>0</v>
      </c>
      <c r="E53" s="552">
        <f t="shared" si="27"/>
        <v>0</v>
      </c>
      <c r="F53" s="552">
        <f t="shared" si="27"/>
        <v>0</v>
      </c>
      <c r="G53" s="552">
        <f t="shared" si="27"/>
        <v>0</v>
      </c>
      <c r="H53" s="552">
        <f t="shared" si="27"/>
        <v>0</v>
      </c>
      <c r="I53" s="552">
        <f t="shared" si="27"/>
        <v>0</v>
      </c>
      <c r="J53" s="552">
        <f t="shared" si="27"/>
        <v>0</v>
      </c>
      <c r="K53" s="552">
        <f t="shared" si="27"/>
        <v>0</v>
      </c>
      <c r="L53" s="552">
        <f t="shared" si="27"/>
        <v>0</v>
      </c>
      <c r="M53" s="552">
        <f t="shared" si="27"/>
        <v>0</v>
      </c>
      <c r="N53" s="552">
        <f t="shared" si="27"/>
        <v>0</v>
      </c>
      <c r="O53" s="552">
        <f t="shared" si="27"/>
        <v>0</v>
      </c>
      <c r="P53" s="552">
        <f t="shared" si="3"/>
        <v>0</v>
      </c>
      <c r="Q53" s="553">
        <f t="shared" si="4"/>
        <v>0</v>
      </c>
      <c r="R53" s="554"/>
    </row>
    <row r="54" spans="1:18" hidden="1">
      <c r="A54" s="550">
        <v>13</v>
      </c>
      <c r="B54" s="551" t="s">
        <v>1137</v>
      </c>
      <c r="C54" s="551" t="s">
        <v>1138</v>
      </c>
      <c r="D54" s="552">
        <f t="shared" ref="D54:O54" si="28">((D19/100)*$P$19)*$Q$2</f>
        <v>0</v>
      </c>
      <c r="E54" s="552">
        <f t="shared" si="28"/>
        <v>0</v>
      </c>
      <c r="F54" s="552">
        <f t="shared" si="28"/>
        <v>0</v>
      </c>
      <c r="G54" s="552">
        <f t="shared" si="28"/>
        <v>0</v>
      </c>
      <c r="H54" s="552">
        <f t="shared" si="28"/>
        <v>0</v>
      </c>
      <c r="I54" s="552">
        <f t="shared" si="28"/>
        <v>0</v>
      </c>
      <c r="J54" s="552">
        <f t="shared" si="28"/>
        <v>0</v>
      </c>
      <c r="K54" s="552">
        <f t="shared" si="28"/>
        <v>0</v>
      </c>
      <c r="L54" s="552">
        <f t="shared" si="28"/>
        <v>0</v>
      </c>
      <c r="M54" s="552">
        <f t="shared" si="28"/>
        <v>0</v>
      </c>
      <c r="N54" s="552">
        <f t="shared" si="28"/>
        <v>0</v>
      </c>
      <c r="O54" s="552">
        <f t="shared" si="28"/>
        <v>0</v>
      </c>
      <c r="P54" s="552">
        <f t="shared" si="3"/>
        <v>0</v>
      </c>
      <c r="Q54" s="553">
        <f t="shared" si="4"/>
        <v>0</v>
      </c>
    </row>
    <row r="55" spans="1:18" hidden="1">
      <c r="A55" s="550"/>
      <c r="B55" s="551" t="s">
        <v>1139</v>
      </c>
      <c r="C55" s="551" t="s">
        <v>1138</v>
      </c>
      <c r="D55" s="552">
        <f t="shared" ref="D55:O55" si="29">((D19/100)*$P$19)*$Q$3</f>
        <v>0</v>
      </c>
      <c r="E55" s="552">
        <f t="shared" si="29"/>
        <v>0</v>
      </c>
      <c r="F55" s="552">
        <f t="shared" si="29"/>
        <v>0</v>
      </c>
      <c r="G55" s="552">
        <f t="shared" si="29"/>
        <v>0</v>
      </c>
      <c r="H55" s="552">
        <f t="shared" si="29"/>
        <v>0</v>
      </c>
      <c r="I55" s="552">
        <f t="shared" si="29"/>
        <v>0</v>
      </c>
      <c r="J55" s="552">
        <f t="shared" si="29"/>
        <v>0</v>
      </c>
      <c r="K55" s="552">
        <f t="shared" si="29"/>
        <v>0</v>
      </c>
      <c r="L55" s="552">
        <f t="shared" si="29"/>
        <v>0</v>
      </c>
      <c r="M55" s="552">
        <f t="shared" si="29"/>
        <v>0</v>
      </c>
      <c r="N55" s="552">
        <f t="shared" si="29"/>
        <v>0</v>
      </c>
      <c r="O55" s="552">
        <f t="shared" si="29"/>
        <v>0</v>
      </c>
      <c r="P55" s="552">
        <f t="shared" si="3"/>
        <v>0</v>
      </c>
      <c r="Q55" s="553">
        <f t="shared" si="4"/>
        <v>0</v>
      </c>
      <c r="R55" s="554"/>
    </row>
    <row r="56" spans="1:18" hidden="1">
      <c r="A56" s="550">
        <v>14</v>
      </c>
      <c r="B56" s="551" t="s">
        <v>1137</v>
      </c>
      <c r="C56" s="551" t="s">
        <v>1138</v>
      </c>
      <c r="D56" s="552">
        <f t="shared" ref="D56:O56" si="30">((D20/100)*$P$20)*$Q$2</f>
        <v>0</v>
      </c>
      <c r="E56" s="552">
        <f t="shared" si="30"/>
        <v>0</v>
      </c>
      <c r="F56" s="552">
        <f t="shared" si="30"/>
        <v>0</v>
      </c>
      <c r="G56" s="552">
        <f t="shared" si="30"/>
        <v>0</v>
      </c>
      <c r="H56" s="552">
        <f t="shared" si="30"/>
        <v>0</v>
      </c>
      <c r="I56" s="552">
        <f t="shared" si="30"/>
        <v>0</v>
      </c>
      <c r="J56" s="552">
        <f t="shared" si="30"/>
        <v>0</v>
      </c>
      <c r="K56" s="552">
        <f t="shared" si="30"/>
        <v>0</v>
      </c>
      <c r="L56" s="552">
        <f t="shared" si="30"/>
        <v>0</v>
      </c>
      <c r="M56" s="552">
        <f t="shared" si="30"/>
        <v>0</v>
      </c>
      <c r="N56" s="552">
        <f t="shared" si="30"/>
        <v>0</v>
      </c>
      <c r="O56" s="552">
        <f t="shared" si="30"/>
        <v>0</v>
      </c>
      <c r="P56" s="552">
        <f t="shared" si="3"/>
        <v>0</v>
      </c>
      <c r="Q56" s="553">
        <f t="shared" si="4"/>
        <v>0</v>
      </c>
    </row>
    <row r="57" spans="1:18" hidden="1">
      <c r="A57" s="550"/>
      <c r="B57" s="551" t="s">
        <v>1139</v>
      </c>
      <c r="C57" s="551" t="s">
        <v>1138</v>
      </c>
      <c r="D57" s="552">
        <f t="shared" ref="D57:O57" si="31">((D20/100)*$P$20)*$Q$3</f>
        <v>0</v>
      </c>
      <c r="E57" s="552">
        <f t="shared" si="31"/>
        <v>0</v>
      </c>
      <c r="F57" s="552">
        <f t="shared" si="31"/>
        <v>0</v>
      </c>
      <c r="G57" s="552">
        <f t="shared" si="31"/>
        <v>0</v>
      </c>
      <c r="H57" s="552">
        <f t="shared" si="31"/>
        <v>0</v>
      </c>
      <c r="I57" s="552">
        <f t="shared" si="31"/>
        <v>0</v>
      </c>
      <c r="J57" s="552">
        <f t="shared" si="31"/>
        <v>0</v>
      </c>
      <c r="K57" s="552">
        <f t="shared" si="31"/>
        <v>0</v>
      </c>
      <c r="L57" s="552">
        <f t="shared" si="31"/>
        <v>0</v>
      </c>
      <c r="M57" s="552">
        <f t="shared" si="31"/>
        <v>0</v>
      </c>
      <c r="N57" s="552">
        <f t="shared" si="31"/>
        <v>0</v>
      </c>
      <c r="O57" s="552">
        <f t="shared" si="31"/>
        <v>0</v>
      </c>
      <c r="P57" s="552">
        <f t="shared" si="3"/>
        <v>0</v>
      </c>
      <c r="Q57" s="553">
        <f t="shared" si="4"/>
        <v>0</v>
      </c>
      <c r="R57" s="554"/>
    </row>
    <row r="58" spans="1:18" hidden="1">
      <c r="A58" s="550">
        <v>15</v>
      </c>
      <c r="B58" s="551" t="s">
        <v>1137</v>
      </c>
      <c r="C58" s="551" t="s">
        <v>1138</v>
      </c>
      <c r="D58" s="552">
        <f t="shared" ref="D58:O58" si="32">((D21/100)*$P$21)*$Q$2</f>
        <v>0</v>
      </c>
      <c r="E58" s="552">
        <f t="shared" si="32"/>
        <v>0</v>
      </c>
      <c r="F58" s="552">
        <f t="shared" si="32"/>
        <v>0</v>
      </c>
      <c r="G58" s="552">
        <f t="shared" si="32"/>
        <v>0</v>
      </c>
      <c r="H58" s="552">
        <f t="shared" si="32"/>
        <v>0</v>
      </c>
      <c r="I58" s="552">
        <f t="shared" si="32"/>
        <v>0</v>
      </c>
      <c r="J58" s="552">
        <f t="shared" si="32"/>
        <v>0</v>
      </c>
      <c r="K58" s="552">
        <f t="shared" si="32"/>
        <v>0</v>
      </c>
      <c r="L58" s="552">
        <f t="shared" si="32"/>
        <v>0</v>
      </c>
      <c r="M58" s="552">
        <f t="shared" si="32"/>
        <v>0</v>
      </c>
      <c r="N58" s="552">
        <f t="shared" si="32"/>
        <v>0</v>
      </c>
      <c r="O58" s="552">
        <f t="shared" si="32"/>
        <v>0</v>
      </c>
      <c r="P58" s="552">
        <f t="shared" si="3"/>
        <v>0</v>
      </c>
      <c r="Q58" s="553">
        <f t="shared" si="4"/>
        <v>0</v>
      </c>
    </row>
    <row r="59" spans="1:18" hidden="1">
      <c r="A59" s="550"/>
      <c r="B59" s="551" t="s">
        <v>1139</v>
      </c>
      <c r="C59" s="551" t="s">
        <v>1138</v>
      </c>
      <c r="D59" s="552">
        <f t="shared" ref="D59:O59" si="33">((D21/100)*$P$21)*$Q$3</f>
        <v>0</v>
      </c>
      <c r="E59" s="552">
        <f t="shared" si="33"/>
        <v>0</v>
      </c>
      <c r="F59" s="552">
        <f t="shared" si="33"/>
        <v>0</v>
      </c>
      <c r="G59" s="552">
        <f t="shared" si="33"/>
        <v>0</v>
      </c>
      <c r="H59" s="552">
        <f t="shared" si="33"/>
        <v>0</v>
      </c>
      <c r="I59" s="552">
        <f t="shared" si="33"/>
        <v>0</v>
      </c>
      <c r="J59" s="552">
        <f t="shared" si="33"/>
        <v>0</v>
      </c>
      <c r="K59" s="552">
        <f t="shared" si="33"/>
        <v>0</v>
      </c>
      <c r="L59" s="552">
        <f t="shared" si="33"/>
        <v>0</v>
      </c>
      <c r="M59" s="552">
        <f t="shared" si="33"/>
        <v>0</v>
      </c>
      <c r="N59" s="552">
        <f t="shared" si="33"/>
        <v>0</v>
      </c>
      <c r="O59" s="552">
        <f t="shared" si="33"/>
        <v>0</v>
      </c>
      <c r="P59" s="552">
        <f t="shared" si="3"/>
        <v>0</v>
      </c>
      <c r="Q59" s="553">
        <f t="shared" si="4"/>
        <v>0</v>
      </c>
      <c r="R59" s="554"/>
    </row>
    <row r="60" spans="1:18" hidden="1">
      <c r="A60" s="550">
        <v>16</v>
      </c>
      <c r="B60" s="551" t="s">
        <v>1137</v>
      </c>
      <c r="C60" s="551" t="s">
        <v>1138</v>
      </c>
      <c r="D60" s="552">
        <f t="shared" ref="D60:O60" si="34">((D22/100)*$P$22)*$Q$2</f>
        <v>0</v>
      </c>
      <c r="E60" s="552">
        <f t="shared" si="34"/>
        <v>0</v>
      </c>
      <c r="F60" s="552">
        <f t="shared" si="34"/>
        <v>0</v>
      </c>
      <c r="G60" s="552">
        <f t="shared" si="34"/>
        <v>0</v>
      </c>
      <c r="H60" s="552">
        <f t="shared" si="34"/>
        <v>0</v>
      </c>
      <c r="I60" s="552">
        <f t="shared" si="34"/>
        <v>0</v>
      </c>
      <c r="J60" s="552">
        <f t="shared" si="34"/>
        <v>0</v>
      </c>
      <c r="K60" s="552">
        <f t="shared" si="34"/>
        <v>0</v>
      </c>
      <c r="L60" s="552">
        <f t="shared" si="34"/>
        <v>0</v>
      </c>
      <c r="M60" s="552">
        <f t="shared" si="34"/>
        <v>0</v>
      </c>
      <c r="N60" s="552">
        <f t="shared" si="34"/>
        <v>0</v>
      </c>
      <c r="O60" s="552">
        <f t="shared" si="34"/>
        <v>0</v>
      </c>
      <c r="P60" s="552">
        <f t="shared" si="3"/>
        <v>0</v>
      </c>
      <c r="Q60" s="553">
        <f t="shared" si="4"/>
        <v>0</v>
      </c>
    </row>
    <row r="61" spans="1:18" hidden="1">
      <c r="A61" s="550"/>
      <c r="B61" s="551" t="s">
        <v>1139</v>
      </c>
      <c r="C61" s="551" t="s">
        <v>1138</v>
      </c>
      <c r="D61" s="552">
        <f t="shared" ref="D61:O61" si="35">((D22/100)*$P$22)*$Q$3</f>
        <v>0</v>
      </c>
      <c r="E61" s="552">
        <f t="shared" si="35"/>
        <v>0</v>
      </c>
      <c r="F61" s="552">
        <f t="shared" si="35"/>
        <v>0</v>
      </c>
      <c r="G61" s="552">
        <f t="shared" si="35"/>
        <v>0</v>
      </c>
      <c r="H61" s="552">
        <f t="shared" si="35"/>
        <v>0</v>
      </c>
      <c r="I61" s="552">
        <f t="shared" si="35"/>
        <v>0</v>
      </c>
      <c r="J61" s="552">
        <f t="shared" si="35"/>
        <v>0</v>
      </c>
      <c r="K61" s="552">
        <f t="shared" si="35"/>
        <v>0</v>
      </c>
      <c r="L61" s="552">
        <f t="shared" si="35"/>
        <v>0</v>
      </c>
      <c r="M61" s="552">
        <f t="shared" si="35"/>
        <v>0</v>
      </c>
      <c r="N61" s="552">
        <f t="shared" si="35"/>
        <v>0</v>
      </c>
      <c r="O61" s="552">
        <f t="shared" si="35"/>
        <v>0</v>
      </c>
      <c r="P61" s="552">
        <f t="shared" si="3"/>
        <v>0</v>
      </c>
      <c r="Q61" s="553">
        <f t="shared" si="4"/>
        <v>0</v>
      </c>
      <c r="R61" s="554"/>
    </row>
    <row r="62" spans="1:18" hidden="1">
      <c r="A62" s="550">
        <v>17</v>
      </c>
      <c r="B62" s="551" t="s">
        <v>1137</v>
      </c>
      <c r="C62" s="551" t="s">
        <v>1138</v>
      </c>
      <c r="D62" s="552">
        <f t="shared" ref="D62:O62" si="36">((D23/100)*$P$23)*$Q$2</f>
        <v>0</v>
      </c>
      <c r="E62" s="552">
        <f t="shared" si="36"/>
        <v>0</v>
      </c>
      <c r="F62" s="552">
        <f t="shared" si="36"/>
        <v>0</v>
      </c>
      <c r="G62" s="552">
        <f t="shared" si="36"/>
        <v>0</v>
      </c>
      <c r="H62" s="552">
        <f t="shared" si="36"/>
        <v>0</v>
      </c>
      <c r="I62" s="552">
        <f t="shared" si="36"/>
        <v>0</v>
      </c>
      <c r="J62" s="552">
        <f t="shared" si="36"/>
        <v>0</v>
      </c>
      <c r="K62" s="552">
        <f t="shared" si="36"/>
        <v>0</v>
      </c>
      <c r="L62" s="552">
        <f t="shared" si="36"/>
        <v>0</v>
      </c>
      <c r="M62" s="552">
        <f t="shared" si="36"/>
        <v>0</v>
      </c>
      <c r="N62" s="552">
        <f t="shared" si="36"/>
        <v>0</v>
      </c>
      <c r="O62" s="552">
        <f t="shared" si="36"/>
        <v>0</v>
      </c>
      <c r="P62" s="552">
        <f t="shared" si="3"/>
        <v>0</v>
      </c>
      <c r="Q62" s="553">
        <f t="shared" si="4"/>
        <v>0</v>
      </c>
    </row>
    <row r="63" spans="1:18" hidden="1">
      <c r="A63" s="550"/>
      <c r="B63" s="551" t="s">
        <v>1139</v>
      </c>
      <c r="C63" s="551" t="s">
        <v>1138</v>
      </c>
      <c r="D63" s="552">
        <f t="shared" ref="D63:O63" si="37">((D23/100)*$P$23)*$Q$3</f>
        <v>0</v>
      </c>
      <c r="E63" s="552">
        <f t="shared" si="37"/>
        <v>0</v>
      </c>
      <c r="F63" s="552">
        <f t="shared" si="37"/>
        <v>0</v>
      </c>
      <c r="G63" s="552">
        <f t="shared" si="37"/>
        <v>0</v>
      </c>
      <c r="H63" s="552">
        <f t="shared" si="37"/>
        <v>0</v>
      </c>
      <c r="I63" s="552">
        <f t="shared" si="37"/>
        <v>0</v>
      </c>
      <c r="J63" s="552">
        <f t="shared" si="37"/>
        <v>0</v>
      </c>
      <c r="K63" s="552">
        <f t="shared" si="37"/>
        <v>0</v>
      </c>
      <c r="L63" s="552">
        <f t="shared" si="37"/>
        <v>0</v>
      </c>
      <c r="M63" s="552">
        <f t="shared" si="37"/>
        <v>0</v>
      </c>
      <c r="N63" s="552">
        <f t="shared" si="37"/>
        <v>0</v>
      </c>
      <c r="O63" s="552">
        <f t="shared" si="37"/>
        <v>0</v>
      </c>
      <c r="P63" s="552">
        <f t="shared" si="3"/>
        <v>0</v>
      </c>
      <c r="Q63" s="553">
        <f t="shared" si="4"/>
        <v>0</v>
      </c>
      <c r="R63" s="554"/>
    </row>
    <row r="64" spans="1:18" hidden="1">
      <c r="A64" s="550">
        <v>18</v>
      </c>
      <c r="B64" s="551" t="s">
        <v>1137</v>
      </c>
      <c r="C64" s="551" t="s">
        <v>1138</v>
      </c>
      <c r="D64" s="552">
        <f t="shared" ref="D64:O64" si="38">((D24/100)*$P$24)*$Q$2</f>
        <v>0</v>
      </c>
      <c r="E64" s="552">
        <f t="shared" si="38"/>
        <v>0</v>
      </c>
      <c r="F64" s="552">
        <f t="shared" si="38"/>
        <v>0</v>
      </c>
      <c r="G64" s="552">
        <f t="shared" si="38"/>
        <v>0</v>
      </c>
      <c r="H64" s="552">
        <f t="shared" si="38"/>
        <v>0</v>
      </c>
      <c r="I64" s="552">
        <f t="shared" si="38"/>
        <v>0</v>
      </c>
      <c r="J64" s="552">
        <f t="shared" si="38"/>
        <v>0</v>
      </c>
      <c r="K64" s="552">
        <f t="shared" si="38"/>
        <v>0</v>
      </c>
      <c r="L64" s="552">
        <f t="shared" si="38"/>
        <v>0</v>
      </c>
      <c r="M64" s="552">
        <f t="shared" si="38"/>
        <v>0</v>
      </c>
      <c r="N64" s="552">
        <f t="shared" si="38"/>
        <v>0</v>
      </c>
      <c r="O64" s="552">
        <f t="shared" si="38"/>
        <v>0</v>
      </c>
      <c r="P64" s="552">
        <f t="shared" si="3"/>
        <v>0</v>
      </c>
      <c r="Q64" s="553">
        <f t="shared" si="4"/>
        <v>0</v>
      </c>
    </row>
    <row r="65" spans="1:18" hidden="1">
      <c r="A65" s="555"/>
      <c r="B65" s="556" t="s">
        <v>1139</v>
      </c>
      <c r="C65" s="556" t="s">
        <v>1138</v>
      </c>
      <c r="D65" s="557">
        <f t="shared" ref="D65:O65" si="39">((D24/100)*$P$24)*$Q$3</f>
        <v>0</v>
      </c>
      <c r="E65" s="557">
        <f t="shared" si="39"/>
        <v>0</v>
      </c>
      <c r="F65" s="557">
        <f t="shared" si="39"/>
        <v>0</v>
      </c>
      <c r="G65" s="557">
        <f t="shared" si="39"/>
        <v>0</v>
      </c>
      <c r="H65" s="557">
        <f t="shared" si="39"/>
        <v>0</v>
      </c>
      <c r="I65" s="557">
        <f t="shared" si="39"/>
        <v>0</v>
      </c>
      <c r="J65" s="557">
        <f t="shared" si="39"/>
        <v>0</v>
      </c>
      <c r="K65" s="557">
        <f t="shared" si="39"/>
        <v>0</v>
      </c>
      <c r="L65" s="557">
        <f t="shared" si="39"/>
        <v>0</v>
      </c>
      <c r="M65" s="557">
        <f t="shared" si="39"/>
        <v>0</v>
      </c>
      <c r="N65" s="557">
        <f t="shared" si="39"/>
        <v>0</v>
      </c>
      <c r="O65" s="557">
        <f t="shared" si="39"/>
        <v>0</v>
      </c>
      <c r="P65" s="552">
        <f t="shared" si="3"/>
        <v>0</v>
      </c>
      <c r="Q65" s="553">
        <f t="shared" si="4"/>
        <v>0</v>
      </c>
      <c r="R65" s="558"/>
    </row>
    <row r="66" spans="1:18">
      <c r="A66" s="559"/>
      <c r="B66" s="560"/>
      <c r="C66" s="560"/>
      <c r="D66" s="561"/>
      <c r="E66" s="561"/>
      <c r="F66" s="561"/>
      <c r="G66" s="561"/>
      <c r="H66" s="561"/>
      <c r="I66" s="561"/>
      <c r="J66" s="561"/>
      <c r="K66" s="561"/>
      <c r="L66" s="561"/>
      <c r="M66" s="561"/>
      <c r="N66" s="561"/>
      <c r="O66" s="561"/>
      <c r="P66" s="561"/>
      <c r="Q66" s="562"/>
    </row>
    <row r="67" spans="1:18">
      <c r="A67" s="563" t="s">
        <v>1140</v>
      </c>
      <c r="B67" s="564" t="s">
        <v>1137</v>
      </c>
      <c r="C67" s="564" t="s">
        <v>1138</v>
      </c>
      <c r="D67" s="565">
        <f t="shared" ref="D67:Q67" si="40">SUMIF($B$30:$B$65,"FINANCIAMENTO",D$30:D$65)</f>
        <v>34301.853043310162</v>
      </c>
      <c r="E67" s="565">
        <f t="shared" si="40"/>
        <v>36784.817479926081</v>
      </c>
      <c r="F67" s="565">
        <f t="shared" si="40"/>
        <v>38968.403049563618</v>
      </c>
      <c r="G67" s="565">
        <f t="shared" si="40"/>
        <v>39944.926427200146</v>
      </c>
      <c r="H67" s="565">
        <f t="shared" si="40"/>
        <v>0</v>
      </c>
      <c r="I67" s="565">
        <f t="shared" si="40"/>
        <v>0</v>
      </c>
      <c r="J67" s="565">
        <f t="shared" si="40"/>
        <v>0</v>
      </c>
      <c r="K67" s="565">
        <f t="shared" si="40"/>
        <v>0</v>
      </c>
      <c r="L67" s="565">
        <f t="shared" si="40"/>
        <v>0</v>
      </c>
      <c r="M67" s="565">
        <f t="shared" si="40"/>
        <v>0</v>
      </c>
      <c r="N67" s="565">
        <f t="shared" si="40"/>
        <v>0</v>
      </c>
      <c r="O67" s="565">
        <f t="shared" si="40"/>
        <v>0</v>
      </c>
      <c r="P67" s="565">
        <f t="shared" si="40"/>
        <v>150000</v>
      </c>
      <c r="Q67" s="566">
        <f t="shared" si="40"/>
        <v>0.20409449477142561</v>
      </c>
    </row>
    <row r="68" spans="1:18">
      <c r="A68" s="563" t="s">
        <v>657</v>
      </c>
      <c r="B68" s="567" t="s">
        <v>1139</v>
      </c>
      <c r="C68" s="567" t="s">
        <v>1138</v>
      </c>
      <c r="D68" s="565">
        <f t="shared" ref="D68:Q68" si="41">SUMIF($B$30:$B$65,"CONTRAPARTIDA",D$30:D$65)</f>
        <v>133766.63445668985</v>
      </c>
      <c r="E68" s="565">
        <f t="shared" si="41"/>
        <v>143449.42902007391</v>
      </c>
      <c r="F68" s="565">
        <f t="shared" si="41"/>
        <v>151964.73845043639</v>
      </c>
      <c r="G68" s="565">
        <f t="shared" si="41"/>
        <v>155772.87807279985</v>
      </c>
      <c r="H68" s="565">
        <f t="shared" si="41"/>
        <v>0</v>
      </c>
      <c r="I68" s="565">
        <f t="shared" si="41"/>
        <v>0</v>
      </c>
      <c r="J68" s="565">
        <f t="shared" si="41"/>
        <v>0</v>
      </c>
      <c r="K68" s="565">
        <f t="shared" si="41"/>
        <v>0</v>
      </c>
      <c r="L68" s="565">
        <f t="shared" si="41"/>
        <v>0</v>
      </c>
      <c r="M68" s="565">
        <f t="shared" si="41"/>
        <v>0</v>
      </c>
      <c r="N68" s="565">
        <f t="shared" si="41"/>
        <v>0</v>
      </c>
      <c r="O68" s="565">
        <f t="shared" si="41"/>
        <v>0</v>
      </c>
      <c r="P68" s="565">
        <f t="shared" si="41"/>
        <v>584953.68000000005</v>
      </c>
      <c r="Q68" s="566">
        <f t="shared" si="41"/>
        <v>0.79590550522857451</v>
      </c>
    </row>
    <row r="69" spans="1:18">
      <c r="A69" s="568"/>
      <c r="B69" s="560"/>
      <c r="C69" s="560"/>
      <c r="D69" s="561"/>
      <c r="E69" s="561"/>
      <c r="F69" s="561"/>
      <c r="G69" s="561"/>
      <c r="H69" s="561"/>
      <c r="I69" s="561"/>
      <c r="J69" s="561"/>
      <c r="K69" s="561"/>
      <c r="L69" s="561"/>
      <c r="M69" s="561"/>
      <c r="N69" s="561"/>
      <c r="O69" s="561"/>
      <c r="P69" s="561"/>
      <c r="Q69" s="562"/>
    </row>
    <row r="70" spans="1:18" ht="13.5" thickBot="1">
      <c r="A70" s="569" t="s">
        <v>1141</v>
      </c>
      <c r="B70" s="570"/>
      <c r="C70" s="571" t="s">
        <v>1138</v>
      </c>
      <c r="D70" s="572">
        <f t="shared" ref="D70:O70" si="42">SUM(D67:D68)</f>
        <v>168068.48750000002</v>
      </c>
      <c r="E70" s="572">
        <f t="shared" si="42"/>
        <v>180234.24649999998</v>
      </c>
      <c r="F70" s="572">
        <f t="shared" si="42"/>
        <v>190933.1415</v>
      </c>
      <c r="G70" s="572">
        <f t="shared" si="42"/>
        <v>195717.8045</v>
      </c>
      <c r="H70" s="572">
        <f t="shared" si="42"/>
        <v>0</v>
      </c>
      <c r="I70" s="572">
        <f t="shared" si="42"/>
        <v>0</v>
      </c>
      <c r="J70" s="573">
        <f t="shared" si="42"/>
        <v>0</v>
      </c>
      <c r="K70" s="573">
        <f t="shared" si="42"/>
        <v>0</v>
      </c>
      <c r="L70" s="573">
        <f t="shared" si="42"/>
        <v>0</v>
      </c>
      <c r="M70" s="573">
        <f t="shared" si="42"/>
        <v>0</v>
      </c>
      <c r="N70" s="573">
        <f t="shared" si="42"/>
        <v>0</v>
      </c>
      <c r="O70" s="573">
        <f t="shared" si="42"/>
        <v>0</v>
      </c>
      <c r="P70" s="573">
        <f>SUM(D70:O70)</f>
        <v>734953.67999999993</v>
      </c>
      <c r="Q70" s="574">
        <f>SUM(Q66:Q67)</f>
        <v>0.20409449477142561</v>
      </c>
    </row>
    <row r="71" spans="1:18" ht="14.25" thickTop="1" thickBot="1">
      <c r="A71" s="575" t="s">
        <v>1142</v>
      </c>
      <c r="B71" s="576"/>
      <c r="C71" s="577" t="s">
        <v>1138</v>
      </c>
      <c r="D71" s="578">
        <f t="shared" ref="D71:P71" si="43">IF($P$70=0,0,D70/$P$70)</f>
        <v>0.22867902028873444</v>
      </c>
      <c r="E71" s="578">
        <f t="shared" si="43"/>
        <v>0.24523211653284055</v>
      </c>
      <c r="F71" s="578">
        <f t="shared" si="43"/>
        <v>0.25978935366375744</v>
      </c>
      <c r="G71" s="578">
        <f t="shared" si="43"/>
        <v>0.26629950951466769</v>
      </c>
      <c r="H71" s="578">
        <f t="shared" si="43"/>
        <v>0</v>
      </c>
      <c r="I71" s="578">
        <f t="shared" si="43"/>
        <v>0</v>
      </c>
      <c r="J71" s="579">
        <f t="shared" si="43"/>
        <v>0</v>
      </c>
      <c r="K71" s="579">
        <f t="shared" si="43"/>
        <v>0</v>
      </c>
      <c r="L71" s="579">
        <f t="shared" si="43"/>
        <v>0</v>
      </c>
      <c r="M71" s="579">
        <f t="shared" si="43"/>
        <v>0</v>
      </c>
      <c r="N71" s="579">
        <f t="shared" si="43"/>
        <v>0</v>
      </c>
      <c r="O71" s="579">
        <f t="shared" si="43"/>
        <v>0</v>
      </c>
      <c r="P71" s="578">
        <f t="shared" si="43"/>
        <v>1</v>
      </c>
      <c r="Q71" s="580">
        <f>SUM(Q67:Q68)</f>
        <v>1</v>
      </c>
    </row>
    <row r="72" spans="1:18" ht="13.5" thickTop="1">
      <c r="A72" s="581"/>
      <c r="B72" s="582"/>
      <c r="C72" s="583" t="s">
        <v>1143</v>
      </c>
      <c r="D72" s="584"/>
      <c r="E72" s="584"/>
      <c r="F72" s="584"/>
      <c r="G72" s="584"/>
      <c r="H72" s="584"/>
      <c r="I72" s="585" t="s">
        <v>1144</v>
      </c>
      <c r="J72" s="586"/>
      <c r="K72" s="586"/>
      <c r="L72" s="587" t="s">
        <v>1145</v>
      </c>
      <c r="M72" s="588"/>
      <c r="N72" s="588"/>
      <c r="O72" s="588"/>
      <c r="P72" s="589"/>
      <c r="Q72" s="585"/>
    </row>
    <row r="73" spans="1:18">
      <c r="A73" s="590"/>
      <c r="B73" s="591"/>
      <c r="C73" s="591"/>
      <c r="D73" s="591"/>
      <c r="E73" s="591"/>
      <c r="F73" s="591"/>
      <c r="G73" s="591"/>
      <c r="H73" s="591"/>
      <c r="I73" s="592"/>
      <c r="P73" s="590"/>
      <c r="Q73" s="592"/>
    </row>
  </sheetData>
  <autoFilter ref="A6:WVX24"/>
  <printOptions horizontalCentered="1" verticalCentered="1"/>
  <pageMargins left="0.78740157480314965" right="0.78740157480314965" top="0.98425196850393704" bottom="0.59055118110236227" header="0.51181102362204722" footer="0.51181102362204722"/>
  <pageSetup paperSize="9" orientation="landscape" horizontalDpi="300" verticalDpi="300" r:id="rId1"/>
  <rowBreaks count="1" manualBreakCount="1">
    <brk id="16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Z1884"/>
  <sheetViews>
    <sheetView showGridLines="0" showZeros="0" tabSelected="1" topLeftCell="D1" zoomScale="90" zoomScaleNormal="90" zoomScaleSheetLayoutView="50" workbookViewId="0">
      <selection activeCell="Z1884" sqref="Z1884"/>
    </sheetView>
  </sheetViews>
  <sheetFormatPr defaultColWidth="21.6640625" defaultRowHeight="12.75"/>
  <cols>
    <col min="1" max="1" width="13" style="192" customWidth="1"/>
    <col min="2" max="2" width="12.6640625" style="192" customWidth="1"/>
    <col min="3" max="3" width="86.6640625" style="119" customWidth="1"/>
    <col min="4" max="4" width="0.6640625" style="119" customWidth="1"/>
    <col min="5" max="5" width="12.5" style="119" customWidth="1"/>
    <col min="6" max="6" width="15.6640625" style="119" customWidth="1"/>
    <col min="7" max="7" width="10.5" style="119" customWidth="1"/>
    <col min="8" max="8" width="14.83203125" style="119" customWidth="1"/>
    <col min="9" max="10" width="14.33203125" style="119" customWidth="1"/>
    <col min="11" max="11" width="6.5" style="119" customWidth="1"/>
    <col min="12" max="12" width="12.83203125" style="119" customWidth="1"/>
    <col min="13" max="13" width="12.1640625" style="119" customWidth="1"/>
    <col min="14" max="16" width="17.83203125" style="119" customWidth="1"/>
    <col min="17" max="17" width="12.83203125" style="119" customWidth="1"/>
    <col min="18" max="18" width="12.1640625" style="119" customWidth="1"/>
    <col min="19" max="21" width="17.83203125" style="119" customWidth="1"/>
    <col min="22" max="22" width="4.6640625" style="160" customWidth="1"/>
    <col min="23" max="25" width="4.6640625" style="119" customWidth="1"/>
    <col min="26" max="16384" width="21.6640625" style="119"/>
  </cols>
  <sheetData>
    <row r="1" spans="1:25" s="57" customFormat="1" ht="13.5" thickBot="1">
      <c r="A1" s="234"/>
      <c r="B1" s="234"/>
      <c r="C1" s="238"/>
      <c r="D1" s="46"/>
      <c r="E1" s="47"/>
      <c r="F1" s="48"/>
      <c r="G1" s="49"/>
      <c r="H1" s="50"/>
      <c r="I1" s="51"/>
      <c r="J1" s="51"/>
      <c r="K1" s="329" t="s">
        <v>583</v>
      </c>
      <c r="L1" s="52"/>
      <c r="M1" s="52"/>
      <c r="N1" s="53"/>
      <c r="O1" s="50"/>
      <c r="P1" s="54"/>
      <c r="Q1" s="233" t="s">
        <v>583</v>
      </c>
      <c r="R1" s="234"/>
      <c r="S1" s="55"/>
      <c r="T1" s="235" t="s">
        <v>583</v>
      </c>
      <c r="U1" s="236"/>
      <c r="V1" s="56"/>
    </row>
    <row r="2" spans="1:25" s="57" customFormat="1" ht="13.5" thickBot="1">
      <c r="A2" s="410" t="s">
        <v>199</v>
      </c>
      <c r="B2" s="218"/>
      <c r="C2" s="219"/>
      <c r="D2" s="58"/>
      <c r="E2" s="59" t="s">
        <v>1041</v>
      </c>
      <c r="F2" s="60"/>
      <c r="G2" s="61"/>
      <c r="H2" s="62"/>
      <c r="I2" s="63"/>
      <c r="J2" s="62"/>
      <c r="K2" s="62"/>
      <c r="L2" s="62"/>
      <c r="M2" s="64"/>
      <c r="N2" s="65"/>
      <c r="O2" s="66"/>
      <c r="P2" s="67"/>
      <c r="Q2" s="68"/>
      <c r="R2" s="69"/>
      <c r="S2" s="70"/>
      <c r="T2" s="71"/>
      <c r="U2" s="72"/>
      <c r="V2" s="56"/>
    </row>
    <row r="3" spans="1:25" s="57" customFormat="1">
      <c r="A3" s="239"/>
      <c r="B3" s="239"/>
      <c r="C3" s="240" t="s">
        <v>584</v>
      </c>
      <c r="D3" s="237"/>
      <c r="E3" s="241" t="s">
        <v>584</v>
      </c>
      <c r="F3" s="242"/>
      <c r="G3" s="73"/>
      <c r="H3" s="74"/>
      <c r="I3" s="63"/>
      <c r="J3" s="75"/>
      <c r="K3" s="240" t="s">
        <v>584</v>
      </c>
      <c r="L3" s="75"/>
      <c r="M3" s="75"/>
      <c r="N3" s="76"/>
      <c r="O3" s="74"/>
      <c r="P3" s="77"/>
      <c r="Q3" s="240" t="s">
        <v>584</v>
      </c>
      <c r="R3" s="69"/>
      <c r="S3" s="70"/>
      <c r="T3" s="71"/>
      <c r="U3" s="72"/>
      <c r="V3" s="56"/>
    </row>
    <row r="4" spans="1:25" s="57" customFormat="1">
      <c r="A4" s="220" t="s">
        <v>200</v>
      </c>
      <c r="B4" s="221"/>
      <c r="C4" s="222" t="s">
        <v>201</v>
      </c>
      <c r="D4" s="79" t="s">
        <v>0</v>
      </c>
      <c r="E4" s="80" t="s">
        <v>1101</v>
      </c>
      <c r="F4" s="81"/>
      <c r="G4" s="73"/>
      <c r="H4" s="74"/>
      <c r="I4" s="63"/>
      <c r="J4" s="75"/>
      <c r="K4" s="75"/>
      <c r="L4" s="75"/>
      <c r="M4" s="75"/>
      <c r="N4" s="76"/>
      <c r="O4" s="74"/>
      <c r="P4" s="77"/>
      <c r="Q4" s="78"/>
      <c r="R4" s="69"/>
      <c r="S4" s="70"/>
      <c r="T4" s="71"/>
      <c r="U4" s="72"/>
      <c r="V4" s="56"/>
    </row>
    <row r="5" spans="1:25" s="57" customFormat="1">
      <c r="A5" s="220" t="s">
        <v>200</v>
      </c>
      <c r="B5" s="221"/>
      <c r="C5" s="222" t="s">
        <v>1</v>
      </c>
      <c r="D5" s="79" t="s">
        <v>0</v>
      </c>
      <c r="E5" s="80" t="s">
        <v>1098</v>
      </c>
      <c r="F5" s="82"/>
      <c r="G5" s="73"/>
      <c r="H5" s="74"/>
      <c r="I5" s="63"/>
      <c r="J5" s="75"/>
      <c r="K5" s="75"/>
      <c r="L5" s="75"/>
      <c r="M5" s="75"/>
      <c r="N5" s="76"/>
      <c r="O5" s="74"/>
      <c r="P5" s="77"/>
      <c r="Q5" s="78"/>
      <c r="R5" s="69"/>
      <c r="S5" s="70"/>
      <c r="T5" s="71"/>
      <c r="U5" s="72"/>
      <c r="V5" s="56"/>
    </row>
    <row r="6" spans="1:25" s="57" customFormat="1">
      <c r="A6" s="220" t="s">
        <v>200</v>
      </c>
      <c r="B6" s="221"/>
      <c r="C6" s="222" t="s">
        <v>2</v>
      </c>
      <c r="D6" s="79" t="s">
        <v>0</v>
      </c>
      <c r="E6" s="80" t="s">
        <v>1102</v>
      </c>
      <c r="F6" s="81"/>
      <c r="G6" s="73"/>
      <c r="H6" s="74"/>
      <c r="I6" s="63"/>
      <c r="J6" s="75"/>
      <c r="K6" s="75"/>
      <c r="L6" s="75"/>
      <c r="M6" s="75"/>
      <c r="N6" s="76"/>
      <c r="O6" s="74"/>
      <c r="P6" s="77"/>
      <c r="Q6" s="78"/>
      <c r="R6" s="69"/>
      <c r="S6" s="70"/>
      <c r="T6" s="71"/>
      <c r="U6" s="72"/>
      <c r="V6" s="56"/>
    </row>
    <row r="7" spans="1:25" s="57" customFormat="1">
      <c r="A7" s="220" t="s">
        <v>200</v>
      </c>
      <c r="B7" s="221"/>
      <c r="C7" s="222" t="s">
        <v>3</v>
      </c>
      <c r="D7" s="79" t="s">
        <v>0</v>
      </c>
      <c r="E7" s="80" t="s">
        <v>1103</v>
      </c>
      <c r="F7" s="81"/>
      <c r="G7" s="73"/>
      <c r="H7" s="74"/>
      <c r="I7" s="63"/>
      <c r="J7" s="75"/>
      <c r="K7" s="75"/>
      <c r="L7" s="75"/>
      <c r="M7" s="75"/>
      <c r="N7" s="76"/>
      <c r="O7" s="74"/>
      <c r="P7" s="77"/>
      <c r="Q7" s="78"/>
      <c r="R7" s="69"/>
      <c r="S7" s="70"/>
      <c r="T7" s="71"/>
      <c r="U7" s="72"/>
      <c r="V7" s="56"/>
    </row>
    <row r="8" spans="1:25" s="57" customFormat="1" ht="13.5" thickBot="1">
      <c r="A8" s="223"/>
      <c r="B8" s="224"/>
      <c r="C8" s="222" t="s">
        <v>4</v>
      </c>
      <c r="D8" s="79" t="s">
        <v>0</v>
      </c>
      <c r="E8" s="80" t="s">
        <v>1104</v>
      </c>
      <c r="F8" s="81"/>
      <c r="G8" s="73"/>
      <c r="H8" s="74"/>
      <c r="I8" s="63"/>
      <c r="J8" s="75"/>
      <c r="K8" s="75"/>
      <c r="L8" s="75"/>
      <c r="M8" s="75"/>
      <c r="N8" s="76"/>
      <c r="O8" s="74"/>
      <c r="P8" s="77"/>
      <c r="Q8" s="78"/>
      <c r="R8" s="69"/>
      <c r="S8" s="70"/>
      <c r="T8" s="71"/>
      <c r="U8" s="72"/>
      <c r="V8" s="56"/>
    </row>
    <row r="9" spans="1:25" s="57" customFormat="1" ht="13.5" thickBot="1">
      <c r="A9" s="220"/>
      <c r="B9" s="221"/>
      <c r="C9" s="222" t="s">
        <v>1049</v>
      </c>
      <c r="D9" s="79" t="s">
        <v>0</v>
      </c>
      <c r="E9" s="450">
        <f>IF(BDI!B14&lt;0,0,BDI!B14)</f>
        <v>0.16800000000000001</v>
      </c>
      <c r="F9" s="81"/>
      <c r="G9" s="73"/>
      <c r="H9" s="74"/>
      <c r="I9" s="63"/>
      <c r="J9" s="75"/>
      <c r="K9" s="75"/>
      <c r="L9" s="75"/>
      <c r="M9" s="75"/>
      <c r="N9" s="76"/>
      <c r="O9" s="74"/>
      <c r="P9" s="77"/>
      <c r="Q9" s="78"/>
      <c r="R9" s="69"/>
      <c r="S9" s="70"/>
      <c r="T9" s="71"/>
      <c r="U9" s="72"/>
      <c r="V9" s="56"/>
    </row>
    <row r="10" spans="1:25" s="57" customFormat="1" ht="13.5" thickBot="1">
      <c r="A10" s="220"/>
      <c r="B10" s="221"/>
      <c r="C10" s="222" t="s">
        <v>1048</v>
      </c>
      <c r="D10" s="79" t="s">
        <v>0</v>
      </c>
      <c r="E10" s="451">
        <f>BDI!B12</f>
        <v>0.26800000000000002</v>
      </c>
      <c r="F10" s="81"/>
      <c r="G10" s="73"/>
      <c r="H10" s="74"/>
      <c r="I10" s="63"/>
      <c r="J10" s="75"/>
      <c r="K10" s="75"/>
      <c r="L10" s="75"/>
      <c r="M10" s="75"/>
      <c r="N10" s="76"/>
      <c r="O10" s="74"/>
      <c r="P10" s="77"/>
      <c r="Q10" s="78"/>
      <c r="R10" s="69"/>
      <c r="S10" s="70"/>
      <c r="T10" s="71"/>
      <c r="U10" s="72"/>
      <c r="V10" s="56"/>
    </row>
    <row r="11" spans="1:25" s="57" customFormat="1" ht="13.5" thickBot="1">
      <c r="A11" s="225"/>
      <c r="B11" s="226"/>
      <c r="C11" s="227" t="s">
        <v>173</v>
      </c>
      <c r="D11" s="83" t="s">
        <v>0</v>
      </c>
      <c r="E11" s="216"/>
      <c r="F11" s="84"/>
      <c r="G11" s="85"/>
      <c r="H11" s="86"/>
      <c r="I11" s="87"/>
      <c r="J11" s="88"/>
      <c r="K11" s="88"/>
      <c r="L11" s="88"/>
      <c r="M11" s="88"/>
      <c r="N11" s="89"/>
      <c r="O11" s="86"/>
      <c r="P11" s="90"/>
      <c r="Q11" s="91"/>
      <c r="R11" s="228"/>
      <c r="S11" s="229"/>
      <c r="T11" s="230"/>
      <c r="U11" s="231"/>
      <c r="V11" s="56"/>
    </row>
    <row r="12" spans="1:25" s="57" customFormat="1" ht="25.15" customHeight="1" thickBot="1">
      <c r="A12" s="215" t="s">
        <v>206</v>
      </c>
      <c r="B12" s="92"/>
      <c r="C12" s="93"/>
      <c r="D12" s="94"/>
      <c r="E12" s="94"/>
      <c r="F12" s="95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3"/>
      <c r="U12" s="232"/>
      <c r="V12" s="56"/>
    </row>
    <row r="13" spans="1:25" s="57" customFormat="1" ht="13.9" customHeight="1">
      <c r="A13" s="396" t="s">
        <v>211</v>
      </c>
      <c r="B13" s="96"/>
      <c r="C13" s="97" t="s">
        <v>1105</v>
      </c>
      <c r="D13" s="98"/>
      <c r="E13" s="99" t="s">
        <v>212</v>
      </c>
      <c r="F13" s="100" t="s">
        <v>1152</v>
      </c>
      <c r="G13" s="362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363" t="s">
        <v>212</v>
      </c>
      <c r="U13" s="102" t="s">
        <v>1152</v>
      </c>
      <c r="V13" s="56"/>
    </row>
    <row r="14" spans="1:25" s="57" customFormat="1" ht="13.9" customHeight="1">
      <c r="A14" s="401" t="s">
        <v>213</v>
      </c>
      <c r="B14" s="353"/>
      <c r="C14" s="354" t="s">
        <v>1106</v>
      </c>
      <c r="D14" s="355"/>
      <c r="E14" s="356" t="s">
        <v>215</v>
      </c>
      <c r="F14" s="357" t="s">
        <v>1108</v>
      </c>
      <c r="G14" s="364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9" t="s">
        <v>214</v>
      </c>
      <c r="U14" s="360" t="s">
        <v>1108</v>
      </c>
      <c r="V14" s="56"/>
    </row>
    <row r="15" spans="1:25" s="57" customFormat="1" ht="13.9" customHeight="1" thickBot="1">
      <c r="A15" s="399" t="s">
        <v>977</v>
      </c>
      <c r="B15" s="103"/>
      <c r="C15" s="104" t="s">
        <v>1153</v>
      </c>
      <c r="D15" s="352"/>
      <c r="E15" s="361"/>
      <c r="F15" s="105"/>
      <c r="G15" s="365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366"/>
      <c r="V15" s="56"/>
    </row>
    <row r="16" spans="1:25" ht="13.5" thickBot="1">
      <c r="A16" s="107" t="s">
        <v>563</v>
      </c>
      <c r="B16" s="108" t="s">
        <v>564</v>
      </c>
      <c r="C16" s="109" t="s">
        <v>202</v>
      </c>
      <c r="D16" s="608" t="s">
        <v>207</v>
      </c>
      <c r="E16" s="110" t="s">
        <v>5</v>
      </c>
      <c r="F16" s="111" t="s">
        <v>6</v>
      </c>
      <c r="G16" s="112" t="s">
        <v>7</v>
      </c>
      <c r="H16" s="113"/>
      <c r="I16" s="114"/>
      <c r="J16" s="115"/>
      <c r="K16" s="116" t="s">
        <v>205</v>
      </c>
      <c r="L16" s="117" t="s">
        <v>8</v>
      </c>
      <c r="M16" s="118"/>
      <c r="N16" s="118"/>
      <c r="O16" s="118"/>
      <c r="P16" s="118"/>
      <c r="Q16" s="599" t="s">
        <v>209</v>
      </c>
      <c r="R16" s="600"/>
      <c r="S16" s="600"/>
      <c r="T16" s="601"/>
      <c r="U16" s="601"/>
      <c r="V16" s="40" t="s">
        <v>565</v>
      </c>
      <c r="W16" s="40"/>
      <c r="X16" s="41"/>
      <c r="Y16" s="41"/>
    </row>
    <row r="17" spans="1:25" ht="43.5" thickBot="1">
      <c r="A17" s="350" t="s">
        <v>217</v>
      </c>
      <c r="B17" s="120"/>
      <c r="C17" s="121"/>
      <c r="D17" s="609"/>
      <c r="E17" s="122" t="s">
        <v>203</v>
      </c>
      <c r="F17" s="123" t="s">
        <v>204</v>
      </c>
      <c r="G17" s="124" t="s">
        <v>9</v>
      </c>
      <c r="H17" s="125" t="s">
        <v>10</v>
      </c>
      <c r="I17" s="125" t="s">
        <v>11</v>
      </c>
      <c r="J17" s="126" t="s">
        <v>12</v>
      </c>
      <c r="K17" s="127"/>
      <c r="L17" s="128" t="s">
        <v>13</v>
      </c>
      <c r="M17" s="129" t="s">
        <v>14</v>
      </c>
      <c r="N17" s="130" t="s">
        <v>208</v>
      </c>
      <c r="O17" s="131" t="s">
        <v>15</v>
      </c>
      <c r="P17" s="132" t="s">
        <v>210</v>
      </c>
      <c r="Q17" s="128" t="s">
        <v>13</v>
      </c>
      <c r="R17" s="133" t="s">
        <v>14</v>
      </c>
      <c r="S17" s="130" t="s">
        <v>208</v>
      </c>
      <c r="T17" s="131" t="s">
        <v>15</v>
      </c>
      <c r="U17" s="134" t="s">
        <v>210</v>
      </c>
      <c r="V17" s="42" t="s">
        <v>566</v>
      </c>
      <c r="W17" s="42" t="s">
        <v>569</v>
      </c>
      <c r="X17" s="42" t="s">
        <v>570</v>
      </c>
      <c r="Y17" s="42" t="s">
        <v>568</v>
      </c>
    </row>
    <row r="18" spans="1:25" ht="13.5" thickBot="1">
      <c r="A18" s="135" t="s">
        <v>753</v>
      </c>
      <c r="B18" s="136"/>
      <c r="C18" s="341" t="s">
        <v>596</v>
      </c>
      <c r="D18" s="370"/>
      <c r="E18" s="138"/>
      <c r="F18" s="139"/>
      <c r="G18" s="140"/>
      <c r="H18" s="141"/>
      <c r="I18" s="141"/>
      <c r="J18" s="141"/>
      <c r="K18" s="141" t="s">
        <v>1029</v>
      </c>
      <c r="L18" s="140"/>
      <c r="M18" s="141"/>
      <c r="N18" s="141"/>
      <c r="O18" s="142"/>
      <c r="P18" s="143">
        <f>SUM(O19:O67)</f>
        <v>2188.23</v>
      </c>
      <c r="Q18" s="140"/>
      <c r="R18" s="141"/>
      <c r="S18" s="141"/>
      <c r="T18" s="142"/>
      <c r="U18" s="143">
        <f>SUM(T19:T67)</f>
        <v>2188.23</v>
      </c>
      <c r="V18" s="144" t="str">
        <f>IF(OR(P18&gt;0,U18&gt;0),"X","")</f>
        <v>X</v>
      </c>
      <c r="W18" s="43" t="str">
        <f t="shared" ref="W18:W86" si="0">IF(V18="X","x",IF(V18="xx","x",IF(V18="xy","x",IF(V18="y","x",IF(OR(O18&gt;0,T18&gt;0),"x","")))))</f>
        <v>x</v>
      </c>
      <c r="X18" s="43" t="str">
        <f t="shared" ref="X18:X81" si="1">IF(V18="X","x",IF(V18="y","x",IF(V18="xx","x",IF(T18&gt;0,"x",""))))</f>
        <v>x</v>
      </c>
      <c r="Y18" s="43" t="str">
        <f t="shared" ref="Y18:Y81" si="2">IF(V18="X","x",IF(T18&gt;0,"x",""))</f>
        <v>x</v>
      </c>
    </row>
    <row r="19" spans="1:25" hidden="1">
      <c r="A19" s="145">
        <v>831000</v>
      </c>
      <c r="B19" s="146" t="s">
        <v>242</v>
      </c>
      <c r="C19" s="342" t="s">
        <v>373</v>
      </c>
      <c r="D19" s="371"/>
      <c r="E19" s="331"/>
      <c r="F19" s="332"/>
      <c r="G19" s="333">
        <v>0</v>
      </c>
      <c r="H19" s="149">
        <v>25.950000000000003</v>
      </c>
      <c r="I19" s="149">
        <f>IF(ISBLANK(H19),"",SUM(G19:H19))</f>
        <v>25.950000000000003</v>
      </c>
      <c r="J19" s="150">
        <f t="shared" ref="J19:J41" si="3">IF(ISBLANK(H19),0,ROUND(I19*(1+$E$10)*(1+$E$11*D19),2))</f>
        <v>32.9</v>
      </c>
      <c r="K19" s="151" t="s">
        <v>20</v>
      </c>
      <c r="L19" s="152"/>
      <c r="M19" s="152"/>
      <c r="N19" s="153">
        <f t="shared" ref="N19:N41" si="4">IF(ISBLANK(L19),0,ROUND(J19*L19,2))</f>
        <v>0</v>
      </c>
      <c r="O19" s="402">
        <f t="shared" ref="O19:O41" si="5">IF(ISBLANK(M19),0,ROUND(L19*M19,2))</f>
        <v>0</v>
      </c>
      <c r="P19" s="403"/>
      <c r="Q19" s="152">
        <f t="shared" ref="Q19:R41" si="6">L19</f>
        <v>0</v>
      </c>
      <c r="R19" s="152">
        <f t="shared" si="6"/>
        <v>0</v>
      </c>
      <c r="S19" s="402">
        <f t="shared" ref="S19:S41" si="7">IF(ISBLANK(Q19),0,ROUND(J19*Q19,2))</f>
        <v>0</v>
      </c>
      <c r="T19" s="404">
        <f t="shared" ref="T19:T41" si="8">IF(ISBLANK(Q19),0,ROUND(Q19*R19,2))</f>
        <v>0</v>
      </c>
      <c r="U19" s="154"/>
      <c r="W19" s="43" t="str">
        <f t="shared" si="0"/>
        <v/>
      </c>
      <c r="X19" s="43" t="str">
        <f t="shared" si="1"/>
        <v/>
      </c>
      <c r="Y19" s="43" t="str">
        <f t="shared" si="2"/>
        <v/>
      </c>
    </row>
    <row r="20" spans="1:25" hidden="1">
      <c r="A20" s="155">
        <v>830000</v>
      </c>
      <c r="B20" s="156" t="s">
        <v>242</v>
      </c>
      <c r="C20" s="343" t="s">
        <v>374</v>
      </c>
      <c r="D20" s="372"/>
      <c r="E20" s="182"/>
      <c r="F20" s="161"/>
      <c r="G20" s="162">
        <v>0</v>
      </c>
      <c r="H20" s="149">
        <v>26.700000000000003</v>
      </c>
      <c r="I20" s="465">
        <f>IF(ISBLANK(H20),"",SUM(G20:H20))</f>
        <v>26.700000000000003</v>
      </c>
      <c r="J20" s="407">
        <f t="shared" si="3"/>
        <v>33.86</v>
      </c>
      <c r="K20" s="408" t="s">
        <v>20</v>
      </c>
      <c r="L20" s="152"/>
      <c r="M20" s="152"/>
      <c r="N20" s="153">
        <f t="shared" si="4"/>
        <v>0</v>
      </c>
      <c r="O20" s="402">
        <f t="shared" si="5"/>
        <v>0</v>
      </c>
      <c r="P20" s="403"/>
      <c r="Q20" s="152">
        <f t="shared" si="6"/>
        <v>0</v>
      </c>
      <c r="R20" s="152">
        <f t="shared" si="6"/>
        <v>0</v>
      </c>
      <c r="S20" s="402">
        <f t="shared" si="7"/>
        <v>0</v>
      </c>
      <c r="T20" s="404">
        <f t="shared" si="8"/>
        <v>0</v>
      </c>
      <c r="U20" s="403"/>
      <c r="W20" s="43" t="str">
        <f t="shared" si="0"/>
        <v/>
      </c>
      <c r="X20" s="43" t="str">
        <f t="shared" si="1"/>
        <v/>
      </c>
      <c r="Y20" s="43" t="str">
        <f t="shared" si="2"/>
        <v/>
      </c>
    </row>
    <row r="21" spans="1:25" hidden="1">
      <c r="A21" s="155">
        <v>606600</v>
      </c>
      <c r="B21" s="156" t="s">
        <v>242</v>
      </c>
      <c r="C21" s="411" t="s">
        <v>235</v>
      </c>
      <c r="D21" s="351"/>
      <c r="E21" s="405"/>
      <c r="F21" s="161"/>
      <c r="G21" s="162"/>
      <c r="H21" s="149">
        <v>198.35</v>
      </c>
      <c r="I21" s="465">
        <f>IF(ISBLANK(H21),"",SUM(G21:H21))</f>
        <v>198.35</v>
      </c>
      <c r="J21" s="407">
        <f t="shared" si="3"/>
        <v>251.51</v>
      </c>
      <c r="K21" s="408" t="s">
        <v>16</v>
      </c>
      <c r="L21" s="152"/>
      <c r="M21" s="152"/>
      <c r="N21" s="153">
        <f t="shared" si="4"/>
        <v>0</v>
      </c>
      <c r="O21" s="402">
        <f t="shared" si="5"/>
        <v>0</v>
      </c>
      <c r="P21" s="403"/>
      <c r="Q21" s="152">
        <f t="shared" si="6"/>
        <v>0</v>
      </c>
      <c r="R21" s="152">
        <f t="shared" si="6"/>
        <v>0</v>
      </c>
      <c r="S21" s="402">
        <f t="shared" si="7"/>
        <v>0</v>
      </c>
      <c r="T21" s="404">
        <f t="shared" si="8"/>
        <v>0</v>
      </c>
      <c r="U21" s="403"/>
      <c r="W21" s="43" t="str">
        <f t="shared" si="0"/>
        <v/>
      </c>
      <c r="X21" s="43" t="str">
        <f t="shared" si="1"/>
        <v/>
      </c>
      <c r="Y21" s="43" t="str">
        <f t="shared" si="2"/>
        <v/>
      </c>
    </row>
    <row r="22" spans="1:25" hidden="1">
      <c r="A22" s="155">
        <v>606700</v>
      </c>
      <c r="B22" s="156" t="s">
        <v>242</v>
      </c>
      <c r="C22" s="411" t="s">
        <v>234</v>
      </c>
      <c r="D22" s="351"/>
      <c r="E22" s="405"/>
      <c r="F22" s="161"/>
      <c r="G22" s="162"/>
      <c r="H22" s="149">
        <v>94.29</v>
      </c>
      <c r="I22" s="465">
        <f>IF(ISBLANK(H22),"",SUM(G22:H22))</f>
        <v>94.29</v>
      </c>
      <c r="J22" s="407">
        <f t="shared" si="3"/>
        <v>119.56</v>
      </c>
      <c r="K22" s="408" t="s">
        <v>16</v>
      </c>
      <c r="L22" s="152"/>
      <c r="M22" s="152"/>
      <c r="N22" s="402">
        <f t="shared" si="4"/>
        <v>0</v>
      </c>
      <c r="O22" s="402">
        <f t="shared" si="5"/>
        <v>0</v>
      </c>
      <c r="P22" s="403"/>
      <c r="Q22" s="152">
        <f t="shared" si="6"/>
        <v>0</v>
      </c>
      <c r="R22" s="152">
        <f t="shared" si="6"/>
        <v>0</v>
      </c>
      <c r="S22" s="402">
        <f t="shared" si="7"/>
        <v>0</v>
      </c>
      <c r="T22" s="404">
        <f t="shared" si="8"/>
        <v>0</v>
      </c>
      <c r="U22" s="403"/>
      <c r="W22" s="43" t="str">
        <f t="shared" si="0"/>
        <v/>
      </c>
      <c r="X22" s="43" t="str">
        <f t="shared" si="1"/>
        <v/>
      </c>
      <c r="Y22" s="43" t="str">
        <f t="shared" si="2"/>
        <v/>
      </c>
    </row>
    <row r="23" spans="1:25" hidden="1">
      <c r="A23" s="155" t="s">
        <v>243</v>
      </c>
      <c r="B23" s="156" t="s">
        <v>242</v>
      </c>
      <c r="C23" s="411" t="s">
        <v>236</v>
      </c>
      <c r="D23" s="351"/>
      <c r="E23" s="405">
        <v>1</v>
      </c>
      <c r="F23" s="161"/>
      <c r="G23" s="162"/>
      <c r="H23" s="149">
        <v>39.5</v>
      </c>
      <c r="I23" s="465">
        <f t="shared" ref="I23:I24" si="9">IF(ISBLANK(H23),"",SUM(G23:H23))</f>
        <v>39.5</v>
      </c>
      <c r="J23" s="407">
        <f t="shared" si="3"/>
        <v>50.09</v>
      </c>
      <c r="K23" s="408" t="s">
        <v>16</v>
      </c>
      <c r="L23" s="152"/>
      <c r="M23" s="152"/>
      <c r="N23" s="402">
        <f t="shared" si="4"/>
        <v>0</v>
      </c>
      <c r="O23" s="402">
        <f t="shared" si="5"/>
        <v>0</v>
      </c>
      <c r="P23" s="403"/>
      <c r="Q23" s="152">
        <f t="shared" si="6"/>
        <v>0</v>
      </c>
      <c r="R23" s="152">
        <f t="shared" si="6"/>
        <v>0</v>
      </c>
      <c r="S23" s="402">
        <f t="shared" si="7"/>
        <v>0</v>
      </c>
      <c r="T23" s="404">
        <f t="shared" si="8"/>
        <v>0</v>
      </c>
      <c r="U23" s="403"/>
      <c r="W23" s="43" t="str">
        <f t="shared" si="0"/>
        <v/>
      </c>
      <c r="X23" s="43" t="str">
        <f t="shared" si="1"/>
        <v/>
      </c>
      <c r="Y23" s="43" t="str">
        <f t="shared" si="2"/>
        <v/>
      </c>
    </row>
    <row r="24" spans="1:25" hidden="1">
      <c r="A24" s="155">
        <v>512000</v>
      </c>
      <c r="B24" s="156" t="s">
        <v>242</v>
      </c>
      <c r="C24" s="411" t="s">
        <v>1001</v>
      </c>
      <c r="D24" s="351"/>
      <c r="E24" s="405">
        <v>1</v>
      </c>
      <c r="F24" s="161"/>
      <c r="G24" s="162"/>
      <c r="H24" s="149">
        <v>24.28</v>
      </c>
      <c r="I24" s="465">
        <f t="shared" si="9"/>
        <v>24.28</v>
      </c>
      <c r="J24" s="407">
        <f t="shared" si="3"/>
        <v>30.79</v>
      </c>
      <c r="K24" s="408" t="s">
        <v>16</v>
      </c>
      <c r="L24" s="152"/>
      <c r="M24" s="152"/>
      <c r="N24" s="402">
        <f t="shared" si="4"/>
        <v>0</v>
      </c>
      <c r="O24" s="402">
        <f t="shared" si="5"/>
        <v>0</v>
      </c>
      <c r="P24" s="403"/>
      <c r="Q24" s="152">
        <f t="shared" si="6"/>
        <v>0</v>
      </c>
      <c r="R24" s="152">
        <f t="shared" si="6"/>
        <v>0</v>
      </c>
      <c r="S24" s="402">
        <f t="shared" si="7"/>
        <v>0</v>
      </c>
      <c r="T24" s="404">
        <f t="shared" si="8"/>
        <v>0</v>
      </c>
      <c r="U24" s="403"/>
      <c r="W24" s="43" t="str">
        <f t="shared" si="0"/>
        <v/>
      </c>
      <c r="X24" s="43" t="str">
        <f t="shared" si="1"/>
        <v/>
      </c>
      <c r="Y24" s="43" t="str">
        <f t="shared" si="2"/>
        <v/>
      </c>
    </row>
    <row r="25" spans="1:25" hidden="1">
      <c r="A25" s="155" t="s">
        <v>630</v>
      </c>
      <c r="B25" s="156" t="s">
        <v>242</v>
      </c>
      <c r="C25" s="411" t="s">
        <v>632</v>
      </c>
      <c r="D25" s="351"/>
      <c r="E25" s="405">
        <v>0</v>
      </c>
      <c r="F25" s="406"/>
      <c r="G25" s="158">
        <v>0</v>
      </c>
      <c r="H25" s="465">
        <v>14.107467</v>
      </c>
      <c r="I25" s="465">
        <f t="shared" ref="I25:I28" si="10">IF(ISBLANK(H25),"",SUM(G25:H25))</f>
        <v>14.107467</v>
      </c>
      <c r="J25" s="407">
        <f t="shared" si="3"/>
        <v>17.89</v>
      </c>
      <c r="K25" s="408" t="s">
        <v>20</v>
      </c>
      <c r="L25" s="152"/>
      <c r="M25" s="152"/>
      <c r="N25" s="402">
        <f t="shared" si="4"/>
        <v>0</v>
      </c>
      <c r="O25" s="402">
        <f t="shared" si="5"/>
        <v>0</v>
      </c>
      <c r="P25" s="403"/>
      <c r="Q25" s="152">
        <f t="shared" si="6"/>
        <v>0</v>
      </c>
      <c r="R25" s="152">
        <f t="shared" si="6"/>
        <v>0</v>
      </c>
      <c r="S25" s="402">
        <f t="shared" si="7"/>
        <v>0</v>
      </c>
      <c r="T25" s="404">
        <f t="shared" si="8"/>
        <v>0</v>
      </c>
      <c r="U25" s="403"/>
      <c r="W25" s="43" t="str">
        <f t="shared" si="0"/>
        <v/>
      </c>
      <c r="X25" s="43" t="str">
        <f t="shared" si="1"/>
        <v/>
      </c>
      <c r="Y25" s="43" t="str">
        <f t="shared" si="2"/>
        <v/>
      </c>
    </row>
    <row r="26" spans="1:25" hidden="1">
      <c r="A26" s="155" t="s">
        <v>631</v>
      </c>
      <c r="B26" s="156" t="s">
        <v>242</v>
      </c>
      <c r="C26" s="411" t="s">
        <v>1042</v>
      </c>
      <c r="D26" s="351"/>
      <c r="E26" s="405">
        <v>0</v>
      </c>
      <c r="F26" s="406"/>
      <c r="G26" s="158"/>
      <c r="H26" s="465">
        <v>9.2811839999999997</v>
      </c>
      <c r="I26" s="465">
        <f t="shared" si="10"/>
        <v>9.2811839999999997</v>
      </c>
      <c r="J26" s="407">
        <f t="shared" si="3"/>
        <v>11.77</v>
      </c>
      <c r="K26" s="408" t="s">
        <v>20</v>
      </c>
      <c r="L26" s="152"/>
      <c r="M26" s="152"/>
      <c r="N26" s="402">
        <f t="shared" si="4"/>
        <v>0</v>
      </c>
      <c r="O26" s="402">
        <f t="shared" si="5"/>
        <v>0</v>
      </c>
      <c r="P26" s="403"/>
      <c r="Q26" s="152">
        <f t="shared" si="6"/>
        <v>0</v>
      </c>
      <c r="R26" s="152">
        <f t="shared" si="6"/>
        <v>0</v>
      </c>
      <c r="S26" s="402">
        <f t="shared" si="7"/>
        <v>0</v>
      </c>
      <c r="T26" s="404">
        <f t="shared" si="8"/>
        <v>0</v>
      </c>
      <c r="U26" s="403"/>
      <c r="W26" s="43" t="str">
        <f t="shared" si="0"/>
        <v/>
      </c>
      <c r="X26" s="43" t="str">
        <f t="shared" si="1"/>
        <v/>
      </c>
      <c r="Y26" s="43" t="str">
        <f t="shared" si="2"/>
        <v/>
      </c>
    </row>
    <row r="27" spans="1:25" hidden="1">
      <c r="A27" s="155" t="s">
        <v>633</v>
      </c>
      <c r="B27" s="156" t="s">
        <v>242</v>
      </c>
      <c r="C27" s="411" t="s">
        <v>634</v>
      </c>
      <c r="D27" s="351"/>
      <c r="E27" s="405">
        <v>0</v>
      </c>
      <c r="F27" s="406"/>
      <c r="G27" s="158"/>
      <c r="H27" s="465">
        <v>11.550008249999999</v>
      </c>
      <c r="I27" s="465">
        <f t="shared" si="10"/>
        <v>11.550008249999999</v>
      </c>
      <c r="J27" s="407">
        <f t="shared" si="3"/>
        <v>14.65</v>
      </c>
      <c r="K27" s="408" t="s">
        <v>20</v>
      </c>
      <c r="L27" s="152"/>
      <c r="M27" s="152"/>
      <c r="N27" s="402">
        <f t="shared" si="4"/>
        <v>0</v>
      </c>
      <c r="O27" s="402">
        <f t="shared" si="5"/>
        <v>0</v>
      </c>
      <c r="P27" s="403"/>
      <c r="Q27" s="152">
        <f t="shared" si="6"/>
        <v>0</v>
      </c>
      <c r="R27" s="152">
        <f t="shared" si="6"/>
        <v>0</v>
      </c>
      <c r="S27" s="402">
        <f t="shared" si="7"/>
        <v>0</v>
      </c>
      <c r="T27" s="404">
        <f t="shared" si="8"/>
        <v>0</v>
      </c>
      <c r="U27" s="403"/>
      <c r="W27" s="43" t="str">
        <f t="shared" si="0"/>
        <v/>
      </c>
      <c r="X27" s="43" t="str">
        <f t="shared" si="1"/>
        <v/>
      </c>
      <c r="Y27" s="43" t="str">
        <f t="shared" si="2"/>
        <v/>
      </c>
    </row>
    <row r="28" spans="1:25" hidden="1">
      <c r="A28" s="155" t="s">
        <v>624</v>
      </c>
      <c r="B28" s="156" t="s">
        <v>626</v>
      </c>
      <c r="C28" s="411" t="s">
        <v>635</v>
      </c>
      <c r="D28" s="351"/>
      <c r="E28" s="405">
        <v>0</v>
      </c>
      <c r="F28" s="406"/>
      <c r="G28" s="158"/>
      <c r="H28" s="465">
        <v>28.495384615384612</v>
      </c>
      <c r="I28" s="465">
        <f t="shared" si="10"/>
        <v>28.495384615384612</v>
      </c>
      <c r="J28" s="407">
        <f t="shared" si="3"/>
        <v>36.130000000000003</v>
      </c>
      <c r="K28" s="408" t="s">
        <v>20</v>
      </c>
      <c r="L28" s="152"/>
      <c r="M28" s="152"/>
      <c r="N28" s="402">
        <f t="shared" si="4"/>
        <v>0</v>
      </c>
      <c r="O28" s="402">
        <f t="shared" si="5"/>
        <v>0</v>
      </c>
      <c r="P28" s="403"/>
      <c r="Q28" s="152">
        <f t="shared" si="6"/>
        <v>0</v>
      </c>
      <c r="R28" s="152">
        <f t="shared" si="6"/>
        <v>0</v>
      </c>
      <c r="S28" s="402">
        <f t="shared" si="7"/>
        <v>0</v>
      </c>
      <c r="T28" s="404">
        <f t="shared" si="8"/>
        <v>0</v>
      </c>
      <c r="U28" s="403"/>
      <c r="W28" s="43" t="str">
        <f t="shared" si="0"/>
        <v/>
      </c>
      <c r="X28" s="43" t="str">
        <f t="shared" si="1"/>
        <v/>
      </c>
      <c r="Y28" s="43" t="str">
        <f t="shared" si="2"/>
        <v/>
      </c>
    </row>
    <row r="29" spans="1:25" hidden="1">
      <c r="A29" s="155">
        <v>600310</v>
      </c>
      <c r="B29" s="156" t="s">
        <v>242</v>
      </c>
      <c r="C29" s="343" t="s">
        <v>610</v>
      </c>
      <c r="D29" s="372"/>
      <c r="E29" s="182"/>
      <c r="F29" s="161"/>
      <c r="G29" s="162"/>
      <c r="H29" s="465">
        <v>94.26</v>
      </c>
      <c r="I29" s="465">
        <f t="shared" ref="I29:I32" si="11">IF(ISBLANK(H29),"",SUM(G29:H29))</f>
        <v>94.26</v>
      </c>
      <c r="J29" s="407">
        <f t="shared" si="3"/>
        <v>119.52</v>
      </c>
      <c r="K29" s="408" t="s">
        <v>23</v>
      </c>
      <c r="L29" s="152"/>
      <c r="M29" s="152"/>
      <c r="N29" s="402">
        <f t="shared" si="4"/>
        <v>0</v>
      </c>
      <c r="O29" s="402">
        <f t="shared" si="5"/>
        <v>0</v>
      </c>
      <c r="P29" s="403"/>
      <c r="Q29" s="152">
        <f t="shared" si="6"/>
        <v>0</v>
      </c>
      <c r="R29" s="152">
        <f t="shared" si="6"/>
        <v>0</v>
      </c>
      <c r="S29" s="402">
        <f t="shared" si="7"/>
        <v>0</v>
      </c>
      <c r="T29" s="404">
        <f t="shared" si="8"/>
        <v>0</v>
      </c>
      <c r="U29" s="403"/>
      <c r="W29" s="43" t="str">
        <f t="shared" si="0"/>
        <v/>
      </c>
      <c r="X29" s="43" t="str">
        <f t="shared" si="1"/>
        <v/>
      </c>
      <c r="Y29" s="43" t="str">
        <f t="shared" si="2"/>
        <v/>
      </c>
    </row>
    <row r="30" spans="1:25" hidden="1">
      <c r="A30" s="155">
        <v>800900</v>
      </c>
      <c r="B30" s="156" t="s">
        <v>242</v>
      </c>
      <c r="C30" s="343" t="s">
        <v>611</v>
      </c>
      <c r="D30" s="372"/>
      <c r="E30" s="182"/>
      <c r="F30" s="161"/>
      <c r="G30" s="162"/>
      <c r="H30" s="465">
        <v>8.06</v>
      </c>
      <c r="I30" s="465">
        <f t="shared" si="11"/>
        <v>8.06</v>
      </c>
      <c r="J30" s="407">
        <f t="shared" si="3"/>
        <v>10.220000000000001</v>
      </c>
      <c r="K30" s="408" t="s">
        <v>18</v>
      </c>
      <c r="L30" s="152"/>
      <c r="M30" s="152"/>
      <c r="N30" s="402">
        <f t="shared" si="4"/>
        <v>0</v>
      </c>
      <c r="O30" s="402">
        <f t="shared" si="5"/>
        <v>0</v>
      </c>
      <c r="P30" s="403"/>
      <c r="Q30" s="152">
        <f t="shared" si="6"/>
        <v>0</v>
      </c>
      <c r="R30" s="152">
        <f t="shared" si="6"/>
        <v>0</v>
      </c>
      <c r="S30" s="402">
        <f t="shared" si="7"/>
        <v>0</v>
      </c>
      <c r="T30" s="404">
        <f t="shared" si="8"/>
        <v>0</v>
      </c>
      <c r="U30" s="403"/>
      <c r="W30" s="43" t="str">
        <f t="shared" si="0"/>
        <v/>
      </c>
      <c r="X30" s="43" t="str">
        <f t="shared" si="1"/>
        <v/>
      </c>
      <c r="Y30" s="43" t="str">
        <f t="shared" si="2"/>
        <v/>
      </c>
    </row>
    <row r="31" spans="1:25" hidden="1">
      <c r="A31" s="155">
        <v>801100</v>
      </c>
      <c r="B31" s="156" t="s">
        <v>242</v>
      </c>
      <c r="C31" s="343" t="s">
        <v>393</v>
      </c>
      <c r="D31" s="372"/>
      <c r="E31" s="182"/>
      <c r="F31" s="161"/>
      <c r="G31" s="162"/>
      <c r="H31" s="465">
        <v>11.350000000000001</v>
      </c>
      <c r="I31" s="465">
        <f t="shared" si="11"/>
        <v>11.350000000000001</v>
      </c>
      <c r="J31" s="407">
        <f t="shared" si="3"/>
        <v>14.39</v>
      </c>
      <c r="K31" s="408" t="s">
        <v>18</v>
      </c>
      <c r="L31" s="152"/>
      <c r="M31" s="152"/>
      <c r="N31" s="402">
        <f t="shared" si="4"/>
        <v>0</v>
      </c>
      <c r="O31" s="404">
        <f t="shared" si="5"/>
        <v>0</v>
      </c>
      <c r="P31" s="403"/>
      <c r="Q31" s="205">
        <f t="shared" si="6"/>
        <v>0</v>
      </c>
      <c r="R31" s="204">
        <f t="shared" si="6"/>
        <v>0</v>
      </c>
      <c r="S31" s="402">
        <f t="shared" si="7"/>
        <v>0</v>
      </c>
      <c r="T31" s="404">
        <f t="shared" si="8"/>
        <v>0</v>
      </c>
      <c r="U31" s="403"/>
      <c r="W31" s="43" t="str">
        <f t="shared" si="0"/>
        <v/>
      </c>
      <c r="X31" s="43" t="str">
        <f t="shared" si="1"/>
        <v/>
      </c>
      <c r="Y31" s="43" t="str">
        <f t="shared" si="2"/>
        <v/>
      </c>
    </row>
    <row r="32" spans="1:25" hidden="1">
      <c r="A32" s="155">
        <v>600510</v>
      </c>
      <c r="B32" s="156" t="s">
        <v>242</v>
      </c>
      <c r="C32" s="343" t="s">
        <v>612</v>
      </c>
      <c r="D32" s="372"/>
      <c r="E32" s="182"/>
      <c r="F32" s="161"/>
      <c r="G32" s="162"/>
      <c r="H32" s="465">
        <v>1.55</v>
      </c>
      <c r="I32" s="465">
        <f t="shared" si="11"/>
        <v>1.55</v>
      </c>
      <c r="J32" s="407">
        <f t="shared" si="3"/>
        <v>1.97</v>
      </c>
      <c r="K32" s="408" t="s">
        <v>20</v>
      </c>
      <c r="L32" s="152"/>
      <c r="M32" s="152"/>
      <c r="N32" s="402">
        <f t="shared" si="4"/>
        <v>0</v>
      </c>
      <c r="O32" s="404">
        <f t="shared" si="5"/>
        <v>0</v>
      </c>
      <c r="P32" s="403"/>
      <c r="Q32" s="205">
        <f t="shared" si="6"/>
        <v>0</v>
      </c>
      <c r="R32" s="204">
        <f t="shared" si="6"/>
        <v>0</v>
      </c>
      <c r="S32" s="402">
        <f t="shared" si="7"/>
        <v>0</v>
      </c>
      <c r="T32" s="404">
        <f t="shared" si="8"/>
        <v>0</v>
      </c>
      <c r="U32" s="403"/>
      <c r="W32" s="43" t="str">
        <f t="shared" si="0"/>
        <v/>
      </c>
      <c r="X32" s="43" t="str">
        <f t="shared" si="1"/>
        <v/>
      </c>
      <c r="Y32" s="43" t="str">
        <f t="shared" si="2"/>
        <v/>
      </c>
    </row>
    <row r="33" spans="1:25" hidden="1">
      <c r="A33" s="155" t="s">
        <v>1044</v>
      </c>
      <c r="B33" s="156" t="s">
        <v>242</v>
      </c>
      <c r="C33" s="411" t="s">
        <v>401</v>
      </c>
      <c r="D33" s="351"/>
      <c r="E33" s="405"/>
      <c r="F33" s="406"/>
      <c r="G33" s="158">
        <v>0</v>
      </c>
      <c r="H33" s="465">
        <f>320.85*0.75*1.5+103.14</f>
        <v>464.09625</v>
      </c>
      <c r="I33" s="465">
        <f>IF(ISBLANK(H33),"",SUM(G33:H33))*0.6</f>
        <v>278.45774999999998</v>
      </c>
      <c r="J33" s="407">
        <f t="shared" si="3"/>
        <v>353.08</v>
      </c>
      <c r="K33" s="408" t="s">
        <v>23</v>
      </c>
      <c r="L33" s="152"/>
      <c r="M33" s="152"/>
      <c r="N33" s="402">
        <f t="shared" si="4"/>
        <v>0</v>
      </c>
      <c r="O33" s="404">
        <f t="shared" si="5"/>
        <v>0</v>
      </c>
      <c r="P33" s="403"/>
      <c r="Q33" s="205">
        <f t="shared" si="6"/>
        <v>0</v>
      </c>
      <c r="R33" s="204">
        <f t="shared" si="6"/>
        <v>0</v>
      </c>
      <c r="S33" s="402">
        <f t="shared" si="7"/>
        <v>0</v>
      </c>
      <c r="T33" s="404">
        <f t="shared" si="8"/>
        <v>0</v>
      </c>
      <c r="U33" s="403"/>
      <c r="V33" s="144"/>
      <c r="W33" s="43" t="str">
        <f t="shared" si="0"/>
        <v/>
      </c>
      <c r="X33" s="43" t="str">
        <f t="shared" si="1"/>
        <v/>
      </c>
      <c r="Y33" s="43" t="str">
        <f t="shared" si="2"/>
        <v/>
      </c>
    </row>
    <row r="34" spans="1:25" hidden="1">
      <c r="A34" s="155" t="s">
        <v>1045</v>
      </c>
      <c r="B34" s="156" t="s">
        <v>242</v>
      </c>
      <c r="C34" s="411" t="s">
        <v>402</v>
      </c>
      <c r="D34" s="351"/>
      <c r="E34" s="405"/>
      <c r="F34" s="406"/>
      <c r="G34" s="158"/>
      <c r="H34" s="465">
        <f>320.85*2*1+103.14*2</f>
        <v>847.98</v>
      </c>
      <c r="I34" s="465">
        <f>IF(ISBLANK(H34),"",SUM(G34:H34))*0.6</f>
        <v>508.78800000000001</v>
      </c>
      <c r="J34" s="407">
        <f t="shared" si="3"/>
        <v>645.14</v>
      </c>
      <c r="K34" s="408" t="s">
        <v>23</v>
      </c>
      <c r="L34" s="152"/>
      <c r="M34" s="152"/>
      <c r="N34" s="402">
        <f t="shared" si="4"/>
        <v>0</v>
      </c>
      <c r="O34" s="404">
        <f t="shared" si="5"/>
        <v>0</v>
      </c>
      <c r="P34" s="403"/>
      <c r="Q34" s="205">
        <f t="shared" si="6"/>
        <v>0</v>
      </c>
      <c r="R34" s="204">
        <f t="shared" si="6"/>
        <v>0</v>
      </c>
      <c r="S34" s="402">
        <f t="shared" si="7"/>
        <v>0</v>
      </c>
      <c r="T34" s="404">
        <f t="shared" si="8"/>
        <v>0</v>
      </c>
      <c r="U34" s="403"/>
      <c r="V34" s="144"/>
      <c r="W34" s="43" t="str">
        <f t="shared" si="0"/>
        <v/>
      </c>
      <c r="X34" s="43" t="str">
        <f t="shared" si="1"/>
        <v/>
      </c>
      <c r="Y34" s="43" t="str">
        <f t="shared" si="2"/>
        <v/>
      </c>
    </row>
    <row r="35" spans="1:25" hidden="1">
      <c r="A35" s="155" t="s">
        <v>1046</v>
      </c>
      <c r="B35" s="156" t="s">
        <v>242</v>
      </c>
      <c r="C35" s="411" t="s">
        <v>403</v>
      </c>
      <c r="D35" s="351"/>
      <c r="E35" s="405"/>
      <c r="F35" s="406"/>
      <c r="G35" s="158"/>
      <c r="H35" s="465">
        <f>320.85*3*1.5+103.14*2</f>
        <v>1650.105</v>
      </c>
      <c r="I35" s="465">
        <f>IF(ISBLANK(H35),"",SUM(G35:H35))*0.6</f>
        <v>990.06299999999999</v>
      </c>
      <c r="J35" s="407">
        <f t="shared" si="3"/>
        <v>1255.4000000000001</v>
      </c>
      <c r="K35" s="408" t="s">
        <v>23</v>
      </c>
      <c r="L35" s="152"/>
      <c r="M35" s="152"/>
      <c r="N35" s="402">
        <f t="shared" si="4"/>
        <v>0</v>
      </c>
      <c r="O35" s="404">
        <f t="shared" si="5"/>
        <v>0</v>
      </c>
      <c r="P35" s="403"/>
      <c r="Q35" s="205">
        <f t="shared" si="6"/>
        <v>0</v>
      </c>
      <c r="R35" s="204">
        <f t="shared" si="6"/>
        <v>0</v>
      </c>
      <c r="S35" s="402">
        <f t="shared" si="7"/>
        <v>0</v>
      </c>
      <c r="T35" s="404">
        <f t="shared" si="8"/>
        <v>0</v>
      </c>
      <c r="U35" s="403"/>
      <c r="V35" s="159"/>
      <c r="W35" s="43" t="str">
        <f t="shared" si="0"/>
        <v/>
      </c>
      <c r="X35" s="43" t="str">
        <f t="shared" si="1"/>
        <v/>
      </c>
      <c r="Y35" s="43" t="str">
        <f t="shared" si="2"/>
        <v/>
      </c>
    </row>
    <row r="36" spans="1:25" ht="13.5" thickBot="1">
      <c r="A36" s="155" t="s">
        <v>1047</v>
      </c>
      <c r="B36" s="156" t="s">
        <v>242</v>
      </c>
      <c r="C36" s="411" t="s">
        <v>404</v>
      </c>
      <c r="D36" s="351"/>
      <c r="E36" s="405"/>
      <c r="F36" s="406"/>
      <c r="G36" s="158"/>
      <c r="H36" s="465">
        <f>320.85*4*2+103.14*3</f>
        <v>2876.2200000000003</v>
      </c>
      <c r="I36" s="465">
        <f>IF(ISBLANK(H36),"",SUM(G36:H36))*0.6</f>
        <v>1725.7320000000002</v>
      </c>
      <c r="J36" s="407">
        <f t="shared" si="3"/>
        <v>2188.23</v>
      </c>
      <c r="K36" s="408" t="s">
        <v>23</v>
      </c>
      <c r="L36" s="152">
        <v>1</v>
      </c>
      <c r="M36" s="152">
        <f>J36</f>
        <v>2188.23</v>
      </c>
      <c r="N36" s="402">
        <f t="shared" si="4"/>
        <v>2188.23</v>
      </c>
      <c r="O36" s="404">
        <f t="shared" si="5"/>
        <v>2188.23</v>
      </c>
      <c r="P36" s="403"/>
      <c r="Q36" s="205">
        <f t="shared" si="6"/>
        <v>1</v>
      </c>
      <c r="R36" s="204">
        <f t="shared" si="6"/>
        <v>2188.23</v>
      </c>
      <c r="S36" s="402">
        <f t="shared" si="7"/>
        <v>2188.23</v>
      </c>
      <c r="T36" s="404">
        <f t="shared" si="8"/>
        <v>2188.23</v>
      </c>
      <c r="U36" s="403"/>
      <c r="V36" s="159" t="s">
        <v>200</v>
      </c>
      <c r="W36" s="43" t="str">
        <f t="shared" si="0"/>
        <v>x</v>
      </c>
      <c r="X36" s="43" t="str">
        <f t="shared" si="1"/>
        <v>x</v>
      </c>
      <c r="Y36" s="43" t="str">
        <f t="shared" si="2"/>
        <v>x</v>
      </c>
    </row>
    <row r="37" spans="1:25" ht="13.5" hidden="1" thickBot="1">
      <c r="A37" s="155">
        <v>841000</v>
      </c>
      <c r="B37" s="156" t="s">
        <v>242</v>
      </c>
      <c r="C37" s="343" t="s">
        <v>613</v>
      </c>
      <c r="D37" s="372"/>
      <c r="E37" s="182"/>
      <c r="F37" s="161"/>
      <c r="G37" s="162"/>
      <c r="H37" s="465">
        <v>9</v>
      </c>
      <c r="I37" s="465">
        <f>IF(ISBLANK(H37),"",SUM(G37:H37))</f>
        <v>9</v>
      </c>
      <c r="J37" s="407">
        <f t="shared" si="3"/>
        <v>11.41</v>
      </c>
      <c r="K37" s="408" t="s">
        <v>20</v>
      </c>
      <c r="L37" s="152"/>
      <c r="M37" s="152"/>
      <c r="N37" s="402">
        <f t="shared" si="4"/>
        <v>0</v>
      </c>
      <c r="O37" s="404">
        <f t="shared" si="5"/>
        <v>0</v>
      </c>
      <c r="P37" s="403"/>
      <c r="Q37" s="205">
        <f t="shared" si="6"/>
        <v>0</v>
      </c>
      <c r="R37" s="204">
        <f t="shared" si="6"/>
        <v>0</v>
      </c>
      <c r="S37" s="402">
        <f t="shared" si="7"/>
        <v>0</v>
      </c>
      <c r="T37" s="404">
        <f t="shared" si="8"/>
        <v>0</v>
      </c>
      <c r="U37" s="403"/>
      <c r="W37" s="43" t="str">
        <f t="shared" si="0"/>
        <v/>
      </c>
      <c r="X37" s="43" t="str">
        <f t="shared" si="1"/>
        <v/>
      </c>
      <c r="Y37" s="43" t="str">
        <f t="shared" si="2"/>
        <v/>
      </c>
    </row>
    <row r="38" spans="1:25" ht="13.5" hidden="1" thickBot="1">
      <c r="A38" s="155">
        <v>840000</v>
      </c>
      <c r="B38" s="156" t="s">
        <v>242</v>
      </c>
      <c r="C38" s="343" t="s">
        <v>372</v>
      </c>
      <c r="D38" s="372"/>
      <c r="E38" s="182"/>
      <c r="F38" s="161"/>
      <c r="G38" s="162"/>
      <c r="H38" s="465">
        <v>24.85</v>
      </c>
      <c r="I38" s="465">
        <f>IF(ISBLANK(H38),"",SUM(G38:H38))</f>
        <v>24.85</v>
      </c>
      <c r="J38" s="407">
        <f t="shared" si="3"/>
        <v>31.51</v>
      </c>
      <c r="K38" s="408" t="s">
        <v>20</v>
      </c>
      <c r="L38" s="152"/>
      <c r="M38" s="152"/>
      <c r="N38" s="402">
        <f t="shared" si="4"/>
        <v>0</v>
      </c>
      <c r="O38" s="404">
        <f t="shared" si="5"/>
        <v>0</v>
      </c>
      <c r="P38" s="403"/>
      <c r="Q38" s="205">
        <f t="shared" si="6"/>
        <v>0</v>
      </c>
      <c r="R38" s="204">
        <f t="shared" si="6"/>
        <v>0</v>
      </c>
      <c r="S38" s="402">
        <f t="shared" si="7"/>
        <v>0</v>
      </c>
      <c r="T38" s="404">
        <f t="shared" si="8"/>
        <v>0</v>
      </c>
      <c r="U38" s="403"/>
      <c r="W38" s="43" t="str">
        <f t="shared" si="0"/>
        <v/>
      </c>
      <c r="X38" s="43" t="str">
        <f t="shared" si="1"/>
        <v/>
      </c>
      <c r="Y38" s="43" t="str">
        <f t="shared" si="2"/>
        <v/>
      </c>
    </row>
    <row r="39" spans="1:25" ht="13.5" hidden="1" thickBot="1">
      <c r="A39" s="155">
        <v>85387</v>
      </c>
      <c r="B39" s="156" t="s">
        <v>241</v>
      </c>
      <c r="C39" s="343" t="s">
        <v>998</v>
      </c>
      <c r="D39" s="372"/>
      <c r="E39" s="182"/>
      <c r="F39" s="161"/>
      <c r="G39" s="162"/>
      <c r="H39" s="465">
        <v>24.910000000000004</v>
      </c>
      <c r="I39" s="465">
        <f t="shared" ref="I39:I40" si="12">IF(ISBLANK(H39),"",SUM(G39:H39))</f>
        <v>24.910000000000004</v>
      </c>
      <c r="J39" s="407">
        <f t="shared" si="3"/>
        <v>31.59</v>
      </c>
      <c r="K39" s="408" t="s">
        <v>16</v>
      </c>
      <c r="L39" s="152"/>
      <c r="M39" s="152"/>
      <c r="N39" s="402">
        <f t="shared" si="4"/>
        <v>0</v>
      </c>
      <c r="O39" s="404">
        <f t="shared" si="5"/>
        <v>0</v>
      </c>
      <c r="P39" s="403"/>
      <c r="Q39" s="205">
        <f t="shared" si="6"/>
        <v>0</v>
      </c>
      <c r="R39" s="204">
        <f t="shared" si="6"/>
        <v>0</v>
      </c>
      <c r="S39" s="402">
        <f t="shared" si="7"/>
        <v>0</v>
      </c>
      <c r="T39" s="404">
        <f t="shared" si="8"/>
        <v>0</v>
      </c>
      <c r="U39" s="403"/>
      <c r="W39" s="43" t="str">
        <f t="shared" si="0"/>
        <v/>
      </c>
      <c r="X39" s="43" t="str">
        <f t="shared" si="1"/>
        <v/>
      </c>
      <c r="Y39" s="43" t="str">
        <f t="shared" si="2"/>
        <v/>
      </c>
    </row>
    <row r="40" spans="1:25" ht="13.5" hidden="1" thickBot="1">
      <c r="A40" s="155" t="s">
        <v>662</v>
      </c>
      <c r="B40" s="156" t="s">
        <v>241</v>
      </c>
      <c r="C40" s="343" t="s">
        <v>664</v>
      </c>
      <c r="D40" s="372"/>
      <c r="E40" s="182"/>
      <c r="F40" s="161"/>
      <c r="G40" s="162"/>
      <c r="H40" s="465">
        <v>73.17</v>
      </c>
      <c r="I40" s="465">
        <f t="shared" si="12"/>
        <v>73.17</v>
      </c>
      <c r="J40" s="407">
        <f t="shared" si="3"/>
        <v>92.78</v>
      </c>
      <c r="K40" s="408" t="s">
        <v>16</v>
      </c>
      <c r="L40" s="152"/>
      <c r="M40" s="152"/>
      <c r="N40" s="402">
        <f t="shared" si="4"/>
        <v>0</v>
      </c>
      <c r="O40" s="404">
        <f t="shared" si="5"/>
        <v>0</v>
      </c>
      <c r="P40" s="403"/>
      <c r="Q40" s="205">
        <f t="shared" si="6"/>
        <v>0</v>
      </c>
      <c r="R40" s="204">
        <f t="shared" si="6"/>
        <v>0</v>
      </c>
      <c r="S40" s="402">
        <f t="shared" si="7"/>
        <v>0</v>
      </c>
      <c r="T40" s="404">
        <f t="shared" si="8"/>
        <v>0</v>
      </c>
      <c r="U40" s="403"/>
      <c r="W40" s="43" t="str">
        <f t="shared" si="0"/>
        <v/>
      </c>
      <c r="X40" s="43" t="str">
        <f t="shared" si="1"/>
        <v/>
      </c>
      <c r="Y40" s="43" t="str">
        <f t="shared" si="2"/>
        <v/>
      </c>
    </row>
    <row r="41" spans="1:25" ht="13.5" hidden="1" thickBot="1">
      <c r="A41" s="155" t="s">
        <v>663</v>
      </c>
      <c r="B41" s="156" t="s">
        <v>241</v>
      </c>
      <c r="C41" s="343" t="s">
        <v>665</v>
      </c>
      <c r="D41" s="372"/>
      <c r="E41" s="182"/>
      <c r="F41" s="161"/>
      <c r="G41" s="162"/>
      <c r="H41" s="465">
        <v>91.46</v>
      </c>
      <c r="I41" s="465">
        <f>IF(ISBLANK(H41),"",SUM(G41:H41))</f>
        <v>91.46</v>
      </c>
      <c r="J41" s="407">
        <f t="shared" si="3"/>
        <v>115.97</v>
      </c>
      <c r="K41" s="408" t="s">
        <v>16</v>
      </c>
      <c r="L41" s="152"/>
      <c r="M41" s="152"/>
      <c r="N41" s="402">
        <f t="shared" si="4"/>
        <v>0</v>
      </c>
      <c r="O41" s="404">
        <f t="shared" si="5"/>
        <v>0</v>
      </c>
      <c r="P41" s="403"/>
      <c r="Q41" s="205">
        <f t="shared" si="6"/>
        <v>0</v>
      </c>
      <c r="R41" s="204">
        <f t="shared" si="6"/>
        <v>0</v>
      </c>
      <c r="S41" s="402">
        <f t="shared" si="7"/>
        <v>0</v>
      </c>
      <c r="T41" s="404">
        <f t="shared" si="8"/>
        <v>0</v>
      </c>
      <c r="U41" s="403"/>
      <c r="W41" s="43" t="str">
        <f t="shared" si="0"/>
        <v/>
      </c>
      <c r="X41" s="43" t="str">
        <f t="shared" si="1"/>
        <v/>
      </c>
      <c r="Y41" s="43" t="str">
        <f t="shared" si="2"/>
        <v/>
      </c>
    </row>
    <row r="42" spans="1:25" ht="13.5" hidden="1" thickBot="1">
      <c r="A42" s="400" t="s">
        <v>217</v>
      </c>
      <c r="B42" s="206"/>
      <c r="C42" s="344" t="s">
        <v>600</v>
      </c>
      <c r="D42" s="185"/>
      <c r="E42" s="207"/>
      <c r="F42" s="208"/>
      <c r="G42" s="209"/>
      <c r="H42" s="210"/>
      <c r="I42" s="210"/>
      <c r="J42" s="210"/>
      <c r="K42" s="210" t="s">
        <v>1029</v>
      </c>
      <c r="L42" s="209"/>
      <c r="M42" s="210"/>
      <c r="N42" s="210"/>
      <c r="O42" s="211"/>
      <c r="P42" s="403"/>
      <c r="Q42" s="209"/>
      <c r="R42" s="210"/>
      <c r="S42" s="210"/>
      <c r="T42" s="211"/>
      <c r="U42" s="403"/>
      <c r="V42" s="144"/>
      <c r="W42" s="43" t="str">
        <f t="shared" si="0"/>
        <v/>
      </c>
      <c r="X42" s="43" t="str">
        <f t="shared" si="1"/>
        <v/>
      </c>
      <c r="Y42" s="43" t="str">
        <f t="shared" si="2"/>
        <v/>
      </c>
    </row>
    <row r="43" spans="1:25" ht="13.5" hidden="1" thickBot="1">
      <c r="A43" s="397" t="s">
        <v>217</v>
      </c>
      <c r="B43" s="165" t="s">
        <v>217</v>
      </c>
      <c r="C43" s="203"/>
      <c r="D43" s="167"/>
      <c r="E43" s="170"/>
      <c r="F43" s="169"/>
      <c r="G43" s="170"/>
      <c r="H43" s="171"/>
      <c r="I43" s="452"/>
      <c r="J43" s="453">
        <f t="shared" ref="J43:J67" si="13">IF(ISBLANK(I43),0,ROUND(I43*(1+$E$10)*(1+$E$11*D43),2))</f>
        <v>0</v>
      </c>
      <c r="K43" s="392" t="s">
        <v>1029</v>
      </c>
      <c r="L43" s="152"/>
      <c r="M43" s="152"/>
      <c r="N43" s="402">
        <f t="shared" ref="N43:N67" si="14">IF(ISBLANK(L43),0,ROUND(J43*L43,2))</f>
        <v>0</v>
      </c>
      <c r="O43" s="404">
        <f t="shared" ref="O43:O67" si="15">IF(ISBLANK(M43),0,ROUND(L43*M43,2))</f>
        <v>0</v>
      </c>
      <c r="P43" s="403"/>
      <c r="Q43" s="152">
        <f t="shared" ref="Q43:R58" si="16">L43</f>
        <v>0</v>
      </c>
      <c r="R43" s="152">
        <f t="shared" si="16"/>
        <v>0</v>
      </c>
      <c r="S43" s="402">
        <f t="shared" ref="S43:S67" si="17">IF(ISBLANK(Q43),0,ROUND(J43*Q43,2))</f>
        <v>0</v>
      </c>
      <c r="T43" s="404">
        <f t="shared" ref="T43:T67" si="18">IF(ISBLANK(Q43),0,ROUND(Q43*R43,2))</f>
        <v>0</v>
      </c>
      <c r="U43" s="403"/>
      <c r="W43" s="43" t="str">
        <f t="shared" si="0"/>
        <v/>
      </c>
      <c r="X43" s="43" t="str">
        <f t="shared" si="1"/>
        <v/>
      </c>
      <c r="Y43" s="43" t="str">
        <f t="shared" si="2"/>
        <v/>
      </c>
    </row>
    <row r="44" spans="1:25" ht="13.5" hidden="1" thickBot="1">
      <c r="A44" s="397" t="s">
        <v>217</v>
      </c>
      <c r="B44" s="165" t="s">
        <v>217</v>
      </c>
      <c r="C44" s="166"/>
      <c r="D44" s="167"/>
      <c r="E44" s="168"/>
      <c r="F44" s="169"/>
      <c r="G44" s="170"/>
      <c r="H44" s="171"/>
      <c r="I44" s="452"/>
      <c r="J44" s="454">
        <f t="shared" si="13"/>
        <v>0</v>
      </c>
      <c r="K44" s="392" t="s">
        <v>1029</v>
      </c>
      <c r="L44" s="152"/>
      <c r="M44" s="152"/>
      <c r="N44" s="402">
        <f>IF(ISBLANK(L44),0,ROUND(J44*L44,2))</f>
        <v>0</v>
      </c>
      <c r="O44" s="402">
        <f t="shared" si="15"/>
        <v>0</v>
      </c>
      <c r="P44" s="403"/>
      <c r="Q44" s="152">
        <f t="shared" si="16"/>
        <v>0</v>
      </c>
      <c r="R44" s="152">
        <f t="shared" si="16"/>
        <v>0</v>
      </c>
      <c r="S44" s="402">
        <f t="shared" si="17"/>
        <v>0</v>
      </c>
      <c r="T44" s="164">
        <f t="shared" si="18"/>
        <v>0</v>
      </c>
      <c r="U44" s="403"/>
      <c r="W44" s="43" t="str">
        <f t="shared" si="0"/>
        <v/>
      </c>
      <c r="X44" s="43" t="str">
        <f t="shared" si="1"/>
        <v/>
      </c>
      <c r="Y44" s="43" t="str">
        <f t="shared" si="2"/>
        <v/>
      </c>
    </row>
    <row r="45" spans="1:25" ht="13.5" hidden="1" thickBot="1">
      <c r="A45" s="397" t="s">
        <v>217</v>
      </c>
      <c r="B45" s="165" t="s">
        <v>217</v>
      </c>
      <c r="C45" s="166"/>
      <c r="D45" s="167"/>
      <c r="E45" s="168"/>
      <c r="F45" s="169"/>
      <c r="G45" s="170"/>
      <c r="H45" s="171"/>
      <c r="I45" s="452"/>
      <c r="J45" s="454">
        <f t="shared" si="13"/>
        <v>0</v>
      </c>
      <c r="K45" s="392" t="s">
        <v>1029</v>
      </c>
      <c r="L45" s="152"/>
      <c r="M45" s="152"/>
      <c r="N45" s="402">
        <f t="shared" si="14"/>
        <v>0</v>
      </c>
      <c r="O45" s="402">
        <f t="shared" si="15"/>
        <v>0</v>
      </c>
      <c r="P45" s="403"/>
      <c r="Q45" s="152">
        <f t="shared" si="16"/>
        <v>0</v>
      </c>
      <c r="R45" s="152">
        <f t="shared" si="16"/>
        <v>0</v>
      </c>
      <c r="S45" s="402">
        <f t="shared" si="17"/>
        <v>0</v>
      </c>
      <c r="T45" s="404">
        <f t="shared" si="18"/>
        <v>0</v>
      </c>
      <c r="U45" s="403"/>
      <c r="W45" s="43" t="str">
        <f t="shared" si="0"/>
        <v/>
      </c>
      <c r="X45" s="43" t="str">
        <f t="shared" si="1"/>
        <v/>
      </c>
      <c r="Y45" s="43" t="str">
        <f t="shared" si="2"/>
        <v/>
      </c>
    </row>
    <row r="46" spans="1:25" ht="13.5" hidden="1" thickBot="1">
      <c r="A46" s="397" t="s">
        <v>217</v>
      </c>
      <c r="B46" s="165" t="s">
        <v>217</v>
      </c>
      <c r="C46" s="166"/>
      <c r="D46" s="167"/>
      <c r="E46" s="168"/>
      <c r="F46" s="169"/>
      <c r="G46" s="170"/>
      <c r="H46" s="171"/>
      <c r="I46" s="452"/>
      <c r="J46" s="454">
        <f t="shared" si="13"/>
        <v>0</v>
      </c>
      <c r="K46" s="392" t="s">
        <v>1029</v>
      </c>
      <c r="L46" s="152"/>
      <c r="M46" s="152"/>
      <c r="N46" s="402">
        <f t="shared" si="14"/>
        <v>0</v>
      </c>
      <c r="O46" s="402">
        <f t="shared" si="15"/>
        <v>0</v>
      </c>
      <c r="P46" s="403"/>
      <c r="Q46" s="152">
        <f t="shared" si="16"/>
        <v>0</v>
      </c>
      <c r="R46" s="152">
        <f t="shared" si="16"/>
        <v>0</v>
      </c>
      <c r="S46" s="402">
        <f t="shared" si="17"/>
        <v>0</v>
      </c>
      <c r="T46" s="404">
        <f t="shared" si="18"/>
        <v>0</v>
      </c>
      <c r="U46" s="403"/>
      <c r="W46" s="43" t="str">
        <f t="shared" si="0"/>
        <v/>
      </c>
      <c r="X46" s="43" t="str">
        <f t="shared" si="1"/>
        <v/>
      </c>
      <c r="Y46" s="43" t="str">
        <f t="shared" si="2"/>
        <v/>
      </c>
    </row>
    <row r="47" spans="1:25" ht="13.5" hidden="1" thickBot="1">
      <c r="A47" s="397" t="s">
        <v>217</v>
      </c>
      <c r="B47" s="165" t="s">
        <v>217</v>
      </c>
      <c r="C47" s="166"/>
      <c r="D47" s="167"/>
      <c r="E47" s="168"/>
      <c r="F47" s="169"/>
      <c r="G47" s="170"/>
      <c r="H47" s="171"/>
      <c r="I47" s="452"/>
      <c r="J47" s="454">
        <f t="shared" si="13"/>
        <v>0</v>
      </c>
      <c r="K47" s="392" t="s">
        <v>1029</v>
      </c>
      <c r="L47" s="152"/>
      <c r="M47" s="152"/>
      <c r="N47" s="402">
        <f t="shared" si="14"/>
        <v>0</v>
      </c>
      <c r="O47" s="402">
        <f t="shared" si="15"/>
        <v>0</v>
      </c>
      <c r="P47" s="403"/>
      <c r="Q47" s="152">
        <f t="shared" si="16"/>
        <v>0</v>
      </c>
      <c r="R47" s="152">
        <f t="shared" si="16"/>
        <v>0</v>
      </c>
      <c r="S47" s="402">
        <f t="shared" si="17"/>
        <v>0</v>
      </c>
      <c r="T47" s="404">
        <f t="shared" si="18"/>
        <v>0</v>
      </c>
      <c r="U47" s="403"/>
      <c r="W47" s="43" t="str">
        <f t="shared" si="0"/>
        <v/>
      </c>
      <c r="X47" s="43" t="str">
        <f t="shared" si="1"/>
        <v/>
      </c>
      <c r="Y47" s="43" t="str">
        <f t="shared" si="2"/>
        <v/>
      </c>
    </row>
    <row r="48" spans="1:25" ht="13.5" hidden="1" thickBot="1">
      <c r="A48" s="397" t="s">
        <v>217</v>
      </c>
      <c r="B48" s="165" t="s">
        <v>217</v>
      </c>
      <c r="C48" s="166"/>
      <c r="D48" s="167"/>
      <c r="E48" s="168"/>
      <c r="F48" s="169"/>
      <c r="G48" s="170"/>
      <c r="H48" s="171"/>
      <c r="I48" s="452"/>
      <c r="J48" s="454">
        <f t="shared" si="13"/>
        <v>0</v>
      </c>
      <c r="K48" s="392" t="s">
        <v>1029</v>
      </c>
      <c r="L48" s="152"/>
      <c r="M48" s="152"/>
      <c r="N48" s="402">
        <f t="shared" si="14"/>
        <v>0</v>
      </c>
      <c r="O48" s="402">
        <f t="shared" si="15"/>
        <v>0</v>
      </c>
      <c r="P48" s="403"/>
      <c r="Q48" s="152">
        <f t="shared" si="16"/>
        <v>0</v>
      </c>
      <c r="R48" s="152">
        <f t="shared" si="16"/>
        <v>0</v>
      </c>
      <c r="S48" s="402">
        <f t="shared" si="17"/>
        <v>0</v>
      </c>
      <c r="T48" s="404">
        <f t="shared" si="18"/>
        <v>0</v>
      </c>
      <c r="U48" s="403"/>
      <c r="W48" s="43" t="str">
        <f t="shared" si="0"/>
        <v/>
      </c>
      <c r="X48" s="43" t="str">
        <f t="shared" si="1"/>
        <v/>
      </c>
      <c r="Y48" s="43" t="str">
        <f t="shared" si="2"/>
        <v/>
      </c>
    </row>
    <row r="49" spans="1:25" ht="13.5" hidden="1" thickBot="1">
      <c r="A49" s="397" t="s">
        <v>217</v>
      </c>
      <c r="B49" s="165" t="s">
        <v>217</v>
      </c>
      <c r="C49" s="166"/>
      <c r="D49" s="167"/>
      <c r="E49" s="168"/>
      <c r="F49" s="169"/>
      <c r="G49" s="170"/>
      <c r="H49" s="171"/>
      <c r="I49" s="452"/>
      <c r="J49" s="454">
        <f t="shared" si="13"/>
        <v>0</v>
      </c>
      <c r="K49" s="392" t="s">
        <v>1029</v>
      </c>
      <c r="L49" s="152"/>
      <c r="M49" s="152"/>
      <c r="N49" s="402">
        <f t="shared" si="14"/>
        <v>0</v>
      </c>
      <c r="O49" s="402">
        <f t="shared" si="15"/>
        <v>0</v>
      </c>
      <c r="P49" s="403"/>
      <c r="Q49" s="152">
        <f t="shared" si="16"/>
        <v>0</v>
      </c>
      <c r="R49" s="152">
        <f t="shared" si="16"/>
        <v>0</v>
      </c>
      <c r="S49" s="402">
        <f t="shared" si="17"/>
        <v>0</v>
      </c>
      <c r="T49" s="404">
        <f t="shared" si="18"/>
        <v>0</v>
      </c>
      <c r="U49" s="403"/>
      <c r="W49" s="43" t="str">
        <f t="shared" si="0"/>
        <v/>
      </c>
      <c r="X49" s="43" t="str">
        <f t="shared" si="1"/>
        <v/>
      </c>
      <c r="Y49" s="43" t="str">
        <f t="shared" si="2"/>
        <v/>
      </c>
    </row>
    <row r="50" spans="1:25" ht="13.5" hidden="1" thickBot="1">
      <c r="A50" s="397" t="s">
        <v>217</v>
      </c>
      <c r="B50" s="165" t="s">
        <v>217</v>
      </c>
      <c r="C50" s="166"/>
      <c r="D50" s="167"/>
      <c r="E50" s="168"/>
      <c r="F50" s="169"/>
      <c r="G50" s="170"/>
      <c r="H50" s="171"/>
      <c r="I50" s="452"/>
      <c r="J50" s="454">
        <f t="shared" si="13"/>
        <v>0</v>
      </c>
      <c r="K50" s="392" t="s">
        <v>1029</v>
      </c>
      <c r="L50" s="152"/>
      <c r="M50" s="152"/>
      <c r="N50" s="402">
        <f t="shared" si="14"/>
        <v>0</v>
      </c>
      <c r="O50" s="402">
        <f t="shared" si="15"/>
        <v>0</v>
      </c>
      <c r="P50" s="403"/>
      <c r="Q50" s="152">
        <f t="shared" si="16"/>
        <v>0</v>
      </c>
      <c r="R50" s="152">
        <f t="shared" si="16"/>
        <v>0</v>
      </c>
      <c r="S50" s="402">
        <f t="shared" si="17"/>
        <v>0</v>
      </c>
      <c r="T50" s="404">
        <f t="shared" si="18"/>
        <v>0</v>
      </c>
      <c r="U50" s="403"/>
      <c r="W50" s="43" t="str">
        <f t="shared" si="0"/>
        <v/>
      </c>
      <c r="X50" s="43" t="str">
        <f t="shared" si="1"/>
        <v/>
      </c>
      <c r="Y50" s="43" t="str">
        <f t="shared" si="2"/>
        <v/>
      </c>
    </row>
    <row r="51" spans="1:25" ht="13.5" hidden="1" thickBot="1">
      <c r="A51" s="397" t="s">
        <v>217</v>
      </c>
      <c r="B51" s="165" t="s">
        <v>217</v>
      </c>
      <c r="C51" s="166"/>
      <c r="D51" s="167"/>
      <c r="E51" s="168"/>
      <c r="F51" s="169"/>
      <c r="G51" s="170"/>
      <c r="H51" s="171"/>
      <c r="I51" s="452"/>
      <c r="J51" s="454">
        <f t="shared" si="13"/>
        <v>0</v>
      </c>
      <c r="K51" s="392" t="s">
        <v>1029</v>
      </c>
      <c r="L51" s="152"/>
      <c r="M51" s="152"/>
      <c r="N51" s="402">
        <f t="shared" si="14"/>
        <v>0</v>
      </c>
      <c r="O51" s="402">
        <f t="shared" si="15"/>
        <v>0</v>
      </c>
      <c r="P51" s="403"/>
      <c r="Q51" s="152">
        <f t="shared" si="16"/>
        <v>0</v>
      </c>
      <c r="R51" s="152">
        <f t="shared" si="16"/>
        <v>0</v>
      </c>
      <c r="S51" s="402">
        <f t="shared" si="17"/>
        <v>0</v>
      </c>
      <c r="T51" s="404">
        <f t="shared" si="18"/>
        <v>0</v>
      </c>
      <c r="U51" s="403"/>
      <c r="W51" s="43" t="str">
        <f t="shared" si="0"/>
        <v/>
      </c>
      <c r="X51" s="43" t="str">
        <f t="shared" si="1"/>
        <v/>
      </c>
      <c r="Y51" s="43" t="str">
        <f t="shared" si="2"/>
        <v/>
      </c>
    </row>
    <row r="52" spans="1:25" ht="13.5" hidden="1" thickBot="1">
      <c r="A52" s="397" t="s">
        <v>217</v>
      </c>
      <c r="B52" s="165" t="s">
        <v>217</v>
      </c>
      <c r="C52" s="166"/>
      <c r="D52" s="167"/>
      <c r="E52" s="168"/>
      <c r="F52" s="169"/>
      <c r="G52" s="170"/>
      <c r="H52" s="171"/>
      <c r="I52" s="452"/>
      <c r="J52" s="454">
        <f t="shared" si="13"/>
        <v>0</v>
      </c>
      <c r="K52" s="392" t="s">
        <v>1029</v>
      </c>
      <c r="L52" s="152"/>
      <c r="M52" s="152"/>
      <c r="N52" s="402">
        <f t="shared" si="14"/>
        <v>0</v>
      </c>
      <c r="O52" s="402">
        <f t="shared" si="15"/>
        <v>0</v>
      </c>
      <c r="P52" s="403"/>
      <c r="Q52" s="152">
        <f t="shared" si="16"/>
        <v>0</v>
      </c>
      <c r="R52" s="152">
        <f t="shared" si="16"/>
        <v>0</v>
      </c>
      <c r="S52" s="402">
        <f t="shared" si="17"/>
        <v>0</v>
      </c>
      <c r="T52" s="404">
        <f t="shared" si="18"/>
        <v>0</v>
      </c>
      <c r="U52" s="403"/>
      <c r="W52" s="43" t="str">
        <f t="shared" si="0"/>
        <v/>
      </c>
      <c r="X52" s="43" t="str">
        <f t="shared" si="1"/>
        <v/>
      </c>
      <c r="Y52" s="43" t="str">
        <f t="shared" si="2"/>
        <v/>
      </c>
    </row>
    <row r="53" spans="1:25" ht="13.5" hidden="1" thickBot="1">
      <c r="A53" s="397" t="s">
        <v>217</v>
      </c>
      <c r="B53" s="165" t="s">
        <v>217</v>
      </c>
      <c r="C53" s="166"/>
      <c r="D53" s="167"/>
      <c r="E53" s="168"/>
      <c r="F53" s="169"/>
      <c r="G53" s="170"/>
      <c r="H53" s="171"/>
      <c r="I53" s="452"/>
      <c r="J53" s="454">
        <f t="shared" si="13"/>
        <v>0</v>
      </c>
      <c r="K53" s="392" t="s">
        <v>1029</v>
      </c>
      <c r="L53" s="152"/>
      <c r="M53" s="152"/>
      <c r="N53" s="402">
        <f t="shared" si="14"/>
        <v>0</v>
      </c>
      <c r="O53" s="402">
        <f t="shared" si="15"/>
        <v>0</v>
      </c>
      <c r="P53" s="403"/>
      <c r="Q53" s="152">
        <f t="shared" si="16"/>
        <v>0</v>
      </c>
      <c r="R53" s="152">
        <f t="shared" si="16"/>
        <v>0</v>
      </c>
      <c r="S53" s="402">
        <f t="shared" si="17"/>
        <v>0</v>
      </c>
      <c r="T53" s="404">
        <f t="shared" si="18"/>
        <v>0</v>
      </c>
      <c r="U53" s="403"/>
      <c r="W53" s="43" t="str">
        <f t="shared" si="0"/>
        <v/>
      </c>
      <c r="X53" s="43" t="str">
        <f t="shared" si="1"/>
        <v/>
      </c>
      <c r="Y53" s="43" t="str">
        <f t="shared" si="2"/>
        <v/>
      </c>
    </row>
    <row r="54" spans="1:25" ht="13.5" hidden="1" thickBot="1">
      <c r="A54" s="397" t="s">
        <v>217</v>
      </c>
      <c r="B54" s="165" t="s">
        <v>217</v>
      </c>
      <c r="C54" s="166"/>
      <c r="D54" s="167"/>
      <c r="E54" s="168"/>
      <c r="F54" s="169"/>
      <c r="G54" s="170"/>
      <c r="H54" s="171"/>
      <c r="I54" s="452"/>
      <c r="J54" s="454">
        <f t="shared" si="13"/>
        <v>0</v>
      </c>
      <c r="K54" s="392" t="s">
        <v>1029</v>
      </c>
      <c r="L54" s="152"/>
      <c r="M54" s="152"/>
      <c r="N54" s="402">
        <f t="shared" si="14"/>
        <v>0</v>
      </c>
      <c r="O54" s="402">
        <f t="shared" si="15"/>
        <v>0</v>
      </c>
      <c r="P54" s="403"/>
      <c r="Q54" s="152">
        <f t="shared" si="16"/>
        <v>0</v>
      </c>
      <c r="R54" s="152">
        <f t="shared" si="16"/>
        <v>0</v>
      </c>
      <c r="S54" s="402">
        <f t="shared" si="17"/>
        <v>0</v>
      </c>
      <c r="T54" s="404">
        <f t="shared" si="18"/>
        <v>0</v>
      </c>
      <c r="U54" s="403"/>
      <c r="W54" s="43" t="str">
        <f t="shared" si="0"/>
        <v/>
      </c>
      <c r="X54" s="43" t="str">
        <f t="shared" si="1"/>
        <v/>
      </c>
      <c r="Y54" s="43" t="str">
        <f t="shared" si="2"/>
        <v/>
      </c>
    </row>
    <row r="55" spans="1:25" ht="13.5" hidden="1" thickBot="1">
      <c r="A55" s="397" t="s">
        <v>217</v>
      </c>
      <c r="B55" s="165" t="s">
        <v>217</v>
      </c>
      <c r="C55" s="166"/>
      <c r="D55" s="167"/>
      <c r="E55" s="168"/>
      <c r="F55" s="169"/>
      <c r="G55" s="170"/>
      <c r="H55" s="171"/>
      <c r="I55" s="452"/>
      <c r="J55" s="454">
        <f t="shared" si="13"/>
        <v>0</v>
      </c>
      <c r="K55" s="392" t="s">
        <v>1029</v>
      </c>
      <c r="L55" s="152"/>
      <c r="M55" s="152"/>
      <c r="N55" s="402">
        <f t="shared" si="14"/>
        <v>0</v>
      </c>
      <c r="O55" s="402">
        <f t="shared" si="15"/>
        <v>0</v>
      </c>
      <c r="P55" s="403"/>
      <c r="Q55" s="152">
        <f t="shared" si="16"/>
        <v>0</v>
      </c>
      <c r="R55" s="152">
        <f t="shared" si="16"/>
        <v>0</v>
      </c>
      <c r="S55" s="402">
        <f t="shared" si="17"/>
        <v>0</v>
      </c>
      <c r="T55" s="404">
        <f t="shared" si="18"/>
        <v>0</v>
      </c>
      <c r="U55" s="403"/>
      <c r="W55" s="43" t="str">
        <f t="shared" si="0"/>
        <v/>
      </c>
      <c r="X55" s="43" t="str">
        <f t="shared" si="1"/>
        <v/>
      </c>
      <c r="Y55" s="43" t="str">
        <f t="shared" si="2"/>
        <v/>
      </c>
    </row>
    <row r="56" spans="1:25" ht="13.5" hidden="1" thickBot="1">
      <c r="A56" s="397" t="s">
        <v>217</v>
      </c>
      <c r="B56" s="165" t="s">
        <v>217</v>
      </c>
      <c r="C56" s="166"/>
      <c r="D56" s="167"/>
      <c r="E56" s="168"/>
      <c r="F56" s="169"/>
      <c r="G56" s="170"/>
      <c r="H56" s="171"/>
      <c r="I56" s="452"/>
      <c r="J56" s="454">
        <f t="shared" si="13"/>
        <v>0</v>
      </c>
      <c r="K56" s="392" t="s">
        <v>1029</v>
      </c>
      <c r="L56" s="152"/>
      <c r="M56" s="152"/>
      <c r="N56" s="402">
        <f t="shared" si="14"/>
        <v>0</v>
      </c>
      <c r="O56" s="402">
        <f t="shared" si="15"/>
        <v>0</v>
      </c>
      <c r="P56" s="403"/>
      <c r="Q56" s="152">
        <f t="shared" si="16"/>
        <v>0</v>
      </c>
      <c r="R56" s="152">
        <f t="shared" si="16"/>
        <v>0</v>
      </c>
      <c r="S56" s="402">
        <f t="shared" si="17"/>
        <v>0</v>
      </c>
      <c r="T56" s="404">
        <f t="shared" si="18"/>
        <v>0</v>
      </c>
      <c r="U56" s="403"/>
      <c r="W56" s="43" t="str">
        <f t="shared" si="0"/>
        <v/>
      </c>
      <c r="X56" s="43" t="str">
        <f t="shared" si="1"/>
        <v/>
      </c>
      <c r="Y56" s="43" t="str">
        <f t="shared" si="2"/>
        <v/>
      </c>
    </row>
    <row r="57" spans="1:25" ht="13.5" hidden="1" thickBot="1">
      <c r="A57" s="397" t="s">
        <v>217</v>
      </c>
      <c r="B57" s="165" t="s">
        <v>217</v>
      </c>
      <c r="C57" s="166"/>
      <c r="D57" s="167"/>
      <c r="E57" s="168"/>
      <c r="F57" s="169"/>
      <c r="G57" s="170"/>
      <c r="H57" s="171"/>
      <c r="I57" s="452"/>
      <c r="J57" s="454">
        <f t="shared" si="13"/>
        <v>0</v>
      </c>
      <c r="K57" s="392" t="s">
        <v>1029</v>
      </c>
      <c r="L57" s="152"/>
      <c r="M57" s="152"/>
      <c r="N57" s="402">
        <f t="shared" si="14"/>
        <v>0</v>
      </c>
      <c r="O57" s="402">
        <f t="shared" si="15"/>
        <v>0</v>
      </c>
      <c r="P57" s="403"/>
      <c r="Q57" s="152">
        <f t="shared" si="16"/>
        <v>0</v>
      </c>
      <c r="R57" s="152">
        <f t="shared" si="16"/>
        <v>0</v>
      </c>
      <c r="S57" s="402">
        <f t="shared" si="17"/>
        <v>0</v>
      </c>
      <c r="T57" s="404">
        <f t="shared" si="18"/>
        <v>0</v>
      </c>
      <c r="U57" s="403"/>
      <c r="W57" s="43" t="str">
        <f t="shared" si="0"/>
        <v/>
      </c>
      <c r="X57" s="43" t="str">
        <f t="shared" si="1"/>
        <v/>
      </c>
      <c r="Y57" s="43" t="str">
        <f t="shared" si="2"/>
        <v/>
      </c>
    </row>
    <row r="58" spans="1:25" ht="13.5" hidden="1" thickBot="1">
      <c r="A58" s="397" t="s">
        <v>217</v>
      </c>
      <c r="B58" s="165" t="s">
        <v>217</v>
      </c>
      <c r="C58" s="166"/>
      <c r="D58" s="167"/>
      <c r="E58" s="168"/>
      <c r="F58" s="169"/>
      <c r="G58" s="170"/>
      <c r="H58" s="171"/>
      <c r="I58" s="452"/>
      <c r="J58" s="454">
        <f t="shared" si="13"/>
        <v>0</v>
      </c>
      <c r="K58" s="392" t="s">
        <v>1029</v>
      </c>
      <c r="L58" s="152"/>
      <c r="M58" s="152"/>
      <c r="N58" s="402">
        <f t="shared" si="14"/>
        <v>0</v>
      </c>
      <c r="O58" s="402">
        <f t="shared" si="15"/>
        <v>0</v>
      </c>
      <c r="P58" s="403"/>
      <c r="Q58" s="152">
        <f t="shared" si="16"/>
        <v>0</v>
      </c>
      <c r="R58" s="152">
        <f t="shared" si="16"/>
        <v>0</v>
      </c>
      <c r="S58" s="402">
        <f t="shared" si="17"/>
        <v>0</v>
      </c>
      <c r="T58" s="404">
        <f t="shared" si="18"/>
        <v>0</v>
      </c>
      <c r="U58" s="403"/>
      <c r="W58" s="43" t="str">
        <f t="shared" si="0"/>
        <v/>
      </c>
      <c r="X58" s="43" t="str">
        <f t="shared" si="1"/>
        <v/>
      </c>
      <c r="Y58" s="43" t="str">
        <f t="shared" si="2"/>
        <v/>
      </c>
    </row>
    <row r="59" spans="1:25" ht="13.5" hidden="1" thickBot="1">
      <c r="A59" s="397" t="s">
        <v>217</v>
      </c>
      <c r="B59" s="165" t="s">
        <v>217</v>
      </c>
      <c r="C59" s="166"/>
      <c r="D59" s="167"/>
      <c r="E59" s="168"/>
      <c r="F59" s="169"/>
      <c r="G59" s="170"/>
      <c r="H59" s="171"/>
      <c r="I59" s="452"/>
      <c r="J59" s="454">
        <f t="shared" si="13"/>
        <v>0</v>
      </c>
      <c r="K59" s="392" t="s">
        <v>1029</v>
      </c>
      <c r="L59" s="152"/>
      <c r="M59" s="152"/>
      <c r="N59" s="402">
        <f t="shared" si="14"/>
        <v>0</v>
      </c>
      <c r="O59" s="402">
        <f t="shared" si="15"/>
        <v>0</v>
      </c>
      <c r="P59" s="403"/>
      <c r="Q59" s="152">
        <f t="shared" ref="Q59:R67" si="19">L59</f>
        <v>0</v>
      </c>
      <c r="R59" s="152">
        <f t="shared" si="19"/>
        <v>0</v>
      </c>
      <c r="S59" s="402">
        <f t="shared" si="17"/>
        <v>0</v>
      </c>
      <c r="T59" s="404">
        <f t="shared" si="18"/>
        <v>0</v>
      </c>
      <c r="U59" s="403"/>
      <c r="W59" s="43" t="str">
        <f t="shared" si="0"/>
        <v/>
      </c>
      <c r="X59" s="43" t="str">
        <f t="shared" si="1"/>
        <v/>
      </c>
      <c r="Y59" s="43" t="str">
        <f t="shared" si="2"/>
        <v/>
      </c>
    </row>
    <row r="60" spans="1:25" ht="13.5" hidden="1" thickBot="1">
      <c r="A60" s="397" t="s">
        <v>217</v>
      </c>
      <c r="B60" s="165" t="s">
        <v>217</v>
      </c>
      <c r="C60" s="166"/>
      <c r="D60" s="167"/>
      <c r="E60" s="168"/>
      <c r="F60" s="169"/>
      <c r="G60" s="170"/>
      <c r="H60" s="171"/>
      <c r="I60" s="452"/>
      <c r="J60" s="454">
        <f t="shared" si="13"/>
        <v>0</v>
      </c>
      <c r="K60" s="392" t="s">
        <v>1029</v>
      </c>
      <c r="L60" s="152"/>
      <c r="M60" s="152"/>
      <c r="N60" s="402">
        <f t="shared" si="14"/>
        <v>0</v>
      </c>
      <c r="O60" s="402">
        <f t="shared" si="15"/>
        <v>0</v>
      </c>
      <c r="P60" s="403"/>
      <c r="Q60" s="152">
        <f t="shared" si="19"/>
        <v>0</v>
      </c>
      <c r="R60" s="152">
        <f t="shared" si="19"/>
        <v>0</v>
      </c>
      <c r="S60" s="402">
        <f t="shared" si="17"/>
        <v>0</v>
      </c>
      <c r="T60" s="404">
        <f t="shared" si="18"/>
        <v>0</v>
      </c>
      <c r="U60" s="403"/>
      <c r="W60" s="43" t="str">
        <f t="shared" si="0"/>
        <v/>
      </c>
      <c r="X60" s="43" t="str">
        <f t="shared" si="1"/>
        <v/>
      </c>
      <c r="Y60" s="43" t="str">
        <f t="shared" si="2"/>
        <v/>
      </c>
    </row>
    <row r="61" spans="1:25" ht="13.5" hidden="1" thickBot="1">
      <c r="A61" s="397" t="s">
        <v>217</v>
      </c>
      <c r="B61" s="165" t="s">
        <v>217</v>
      </c>
      <c r="C61" s="166"/>
      <c r="D61" s="167"/>
      <c r="E61" s="168"/>
      <c r="F61" s="169"/>
      <c r="G61" s="170"/>
      <c r="H61" s="171"/>
      <c r="I61" s="452"/>
      <c r="J61" s="454">
        <f t="shared" si="13"/>
        <v>0</v>
      </c>
      <c r="K61" s="392" t="s">
        <v>1029</v>
      </c>
      <c r="L61" s="152"/>
      <c r="M61" s="152"/>
      <c r="N61" s="402">
        <f t="shared" si="14"/>
        <v>0</v>
      </c>
      <c r="O61" s="402">
        <f t="shared" si="15"/>
        <v>0</v>
      </c>
      <c r="P61" s="403"/>
      <c r="Q61" s="152">
        <f t="shared" si="19"/>
        <v>0</v>
      </c>
      <c r="R61" s="152">
        <f t="shared" si="19"/>
        <v>0</v>
      </c>
      <c r="S61" s="402">
        <f t="shared" si="17"/>
        <v>0</v>
      </c>
      <c r="T61" s="404">
        <f t="shared" si="18"/>
        <v>0</v>
      </c>
      <c r="U61" s="403"/>
      <c r="W61" s="43" t="str">
        <f t="shared" si="0"/>
        <v/>
      </c>
      <c r="X61" s="43" t="str">
        <f t="shared" si="1"/>
        <v/>
      </c>
      <c r="Y61" s="43" t="str">
        <f t="shared" si="2"/>
        <v/>
      </c>
    </row>
    <row r="62" spans="1:25" ht="13.5" hidden="1" thickBot="1">
      <c r="A62" s="397" t="s">
        <v>217</v>
      </c>
      <c r="B62" s="165" t="s">
        <v>217</v>
      </c>
      <c r="C62" s="166"/>
      <c r="D62" s="167"/>
      <c r="E62" s="168"/>
      <c r="F62" s="169"/>
      <c r="G62" s="170"/>
      <c r="H62" s="171"/>
      <c r="I62" s="452"/>
      <c r="J62" s="454">
        <f t="shared" si="13"/>
        <v>0</v>
      </c>
      <c r="K62" s="392" t="s">
        <v>1029</v>
      </c>
      <c r="L62" s="152"/>
      <c r="M62" s="152"/>
      <c r="N62" s="402">
        <f t="shared" si="14"/>
        <v>0</v>
      </c>
      <c r="O62" s="402">
        <f t="shared" si="15"/>
        <v>0</v>
      </c>
      <c r="P62" s="403"/>
      <c r="Q62" s="152">
        <f t="shared" si="19"/>
        <v>0</v>
      </c>
      <c r="R62" s="152">
        <f t="shared" si="19"/>
        <v>0</v>
      </c>
      <c r="S62" s="402">
        <f t="shared" si="17"/>
        <v>0</v>
      </c>
      <c r="T62" s="404">
        <f t="shared" si="18"/>
        <v>0</v>
      </c>
      <c r="U62" s="403"/>
      <c r="W62" s="43" t="str">
        <f t="shared" si="0"/>
        <v/>
      </c>
      <c r="X62" s="43" t="str">
        <f t="shared" si="1"/>
        <v/>
      </c>
      <c r="Y62" s="43" t="str">
        <f t="shared" si="2"/>
        <v/>
      </c>
    </row>
    <row r="63" spans="1:25" ht="13.5" hidden="1" thickBot="1">
      <c r="A63" s="397" t="s">
        <v>217</v>
      </c>
      <c r="B63" s="165" t="s">
        <v>217</v>
      </c>
      <c r="C63" s="166"/>
      <c r="D63" s="167"/>
      <c r="E63" s="168"/>
      <c r="F63" s="169"/>
      <c r="G63" s="170"/>
      <c r="H63" s="171"/>
      <c r="I63" s="452"/>
      <c r="J63" s="454">
        <f t="shared" si="13"/>
        <v>0</v>
      </c>
      <c r="K63" s="392" t="s">
        <v>1029</v>
      </c>
      <c r="L63" s="152"/>
      <c r="M63" s="152"/>
      <c r="N63" s="402">
        <f t="shared" si="14"/>
        <v>0</v>
      </c>
      <c r="O63" s="402">
        <f t="shared" si="15"/>
        <v>0</v>
      </c>
      <c r="P63" s="403"/>
      <c r="Q63" s="152">
        <f t="shared" si="19"/>
        <v>0</v>
      </c>
      <c r="R63" s="152">
        <f t="shared" si="19"/>
        <v>0</v>
      </c>
      <c r="S63" s="402">
        <f t="shared" si="17"/>
        <v>0</v>
      </c>
      <c r="T63" s="404">
        <f t="shared" si="18"/>
        <v>0</v>
      </c>
      <c r="U63" s="403"/>
      <c r="W63" s="43" t="str">
        <f t="shared" si="0"/>
        <v/>
      </c>
      <c r="X63" s="43" t="str">
        <f t="shared" si="1"/>
        <v/>
      </c>
      <c r="Y63" s="43" t="str">
        <f t="shared" si="2"/>
        <v/>
      </c>
    </row>
    <row r="64" spans="1:25" ht="13.5" hidden="1" thickBot="1">
      <c r="A64" s="397" t="s">
        <v>217</v>
      </c>
      <c r="B64" s="165" t="s">
        <v>217</v>
      </c>
      <c r="C64" s="166"/>
      <c r="D64" s="167"/>
      <c r="E64" s="168"/>
      <c r="F64" s="169"/>
      <c r="G64" s="170"/>
      <c r="H64" s="171"/>
      <c r="I64" s="452"/>
      <c r="J64" s="454">
        <f t="shared" si="13"/>
        <v>0</v>
      </c>
      <c r="K64" s="392" t="s">
        <v>1029</v>
      </c>
      <c r="L64" s="152"/>
      <c r="M64" s="152"/>
      <c r="N64" s="402">
        <f t="shared" si="14"/>
        <v>0</v>
      </c>
      <c r="O64" s="402">
        <f t="shared" si="15"/>
        <v>0</v>
      </c>
      <c r="P64" s="403"/>
      <c r="Q64" s="152">
        <f t="shared" si="19"/>
        <v>0</v>
      </c>
      <c r="R64" s="152">
        <f t="shared" si="19"/>
        <v>0</v>
      </c>
      <c r="S64" s="402">
        <f t="shared" si="17"/>
        <v>0</v>
      </c>
      <c r="T64" s="404">
        <f t="shared" si="18"/>
        <v>0</v>
      </c>
      <c r="U64" s="403"/>
      <c r="W64" s="43" t="str">
        <f t="shared" si="0"/>
        <v/>
      </c>
      <c r="X64" s="43" t="str">
        <f t="shared" si="1"/>
        <v/>
      </c>
      <c r="Y64" s="43" t="str">
        <f t="shared" si="2"/>
        <v/>
      </c>
    </row>
    <row r="65" spans="1:25" ht="13.5" hidden="1" thickBot="1">
      <c r="A65" s="397" t="s">
        <v>217</v>
      </c>
      <c r="B65" s="165" t="s">
        <v>217</v>
      </c>
      <c r="C65" s="166"/>
      <c r="D65" s="167"/>
      <c r="E65" s="168"/>
      <c r="F65" s="169"/>
      <c r="G65" s="170"/>
      <c r="H65" s="171"/>
      <c r="I65" s="452"/>
      <c r="J65" s="454">
        <f t="shared" si="13"/>
        <v>0</v>
      </c>
      <c r="K65" s="392" t="s">
        <v>1029</v>
      </c>
      <c r="L65" s="152"/>
      <c r="M65" s="152"/>
      <c r="N65" s="402">
        <f t="shared" si="14"/>
        <v>0</v>
      </c>
      <c r="O65" s="402">
        <f t="shared" si="15"/>
        <v>0</v>
      </c>
      <c r="P65" s="403"/>
      <c r="Q65" s="152">
        <f t="shared" si="19"/>
        <v>0</v>
      </c>
      <c r="R65" s="152">
        <f t="shared" si="19"/>
        <v>0</v>
      </c>
      <c r="S65" s="402">
        <f t="shared" si="17"/>
        <v>0</v>
      </c>
      <c r="T65" s="404">
        <f t="shared" si="18"/>
        <v>0</v>
      </c>
      <c r="U65" s="403"/>
      <c r="W65" s="43" t="str">
        <f t="shared" si="0"/>
        <v/>
      </c>
      <c r="X65" s="43" t="str">
        <f t="shared" si="1"/>
        <v/>
      </c>
      <c r="Y65" s="43" t="str">
        <f t="shared" si="2"/>
        <v/>
      </c>
    </row>
    <row r="66" spans="1:25" ht="13.5" hidden="1" thickBot="1">
      <c r="A66" s="397" t="s">
        <v>217</v>
      </c>
      <c r="B66" s="165" t="s">
        <v>217</v>
      </c>
      <c r="C66" s="166"/>
      <c r="D66" s="167"/>
      <c r="E66" s="168"/>
      <c r="F66" s="169"/>
      <c r="G66" s="170"/>
      <c r="H66" s="171"/>
      <c r="I66" s="452"/>
      <c r="J66" s="454">
        <f t="shared" si="13"/>
        <v>0</v>
      </c>
      <c r="K66" s="392" t="s">
        <v>1029</v>
      </c>
      <c r="L66" s="152"/>
      <c r="M66" s="152"/>
      <c r="N66" s="402">
        <f t="shared" si="14"/>
        <v>0</v>
      </c>
      <c r="O66" s="402">
        <f t="shared" si="15"/>
        <v>0</v>
      </c>
      <c r="P66" s="403"/>
      <c r="Q66" s="152">
        <f t="shared" si="19"/>
        <v>0</v>
      </c>
      <c r="R66" s="152">
        <f t="shared" si="19"/>
        <v>0</v>
      </c>
      <c r="S66" s="402">
        <f t="shared" si="17"/>
        <v>0</v>
      </c>
      <c r="T66" s="404">
        <f t="shared" si="18"/>
        <v>0</v>
      </c>
      <c r="U66" s="403"/>
      <c r="W66" s="43" t="str">
        <f t="shared" si="0"/>
        <v/>
      </c>
      <c r="X66" s="43" t="str">
        <f t="shared" si="1"/>
        <v/>
      </c>
      <c r="Y66" s="43" t="str">
        <f t="shared" si="2"/>
        <v/>
      </c>
    </row>
    <row r="67" spans="1:25" ht="13.5" hidden="1" thickBot="1">
      <c r="A67" s="398" t="s">
        <v>217</v>
      </c>
      <c r="B67" s="172" t="s">
        <v>217</v>
      </c>
      <c r="C67" s="173"/>
      <c r="D67" s="174"/>
      <c r="E67" s="175"/>
      <c r="F67" s="176"/>
      <c r="G67" s="177"/>
      <c r="H67" s="178"/>
      <c r="I67" s="455"/>
      <c r="J67" s="456">
        <f t="shared" si="13"/>
        <v>0</v>
      </c>
      <c r="K67" s="393" t="s">
        <v>1029</v>
      </c>
      <c r="L67" s="152"/>
      <c r="M67" s="152"/>
      <c r="N67" s="163">
        <f t="shared" si="14"/>
        <v>0</v>
      </c>
      <c r="O67" s="163">
        <f t="shared" si="15"/>
        <v>0</v>
      </c>
      <c r="P67" s="403"/>
      <c r="Q67" s="152">
        <f t="shared" si="19"/>
        <v>0</v>
      </c>
      <c r="R67" s="152">
        <f t="shared" si="19"/>
        <v>0</v>
      </c>
      <c r="S67" s="163">
        <f t="shared" si="17"/>
        <v>0</v>
      </c>
      <c r="T67" s="179">
        <f t="shared" si="18"/>
        <v>0</v>
      </c>
      <c r="U67" s="403"/>
      <c r="W67" s="43" t="str">
        <f t="shared" si="0"/>
        <v/>
      </c>
      <c r="X67" s="43" t="str">
        <f t="shared" si="1"/>
        <v/>
      </c>
      <c r="Y67" s="43" t="str">
        <f t="shared" si="2"/>
        <v/>
      </c>
    </row>
    <row r="68" spans="1:25" ht="13.5" thickBot="1">
      <c r="A68" s="135" t="s">
        <v>219</v>
      </c>
      <c r="B68" s="136"/>
      <c r="C68" s="341" t="s">
        <v>592</v>
      </c>
      <c r="D68" s="137"/>
      <c r="E68" s="138"/>
      <c r="F68" s="139"/>
      <c r="G68" s="140"/>
      <c r="H68" s="141"/>
      <c r="I68" s="141"/>
      <c r="J68" s="141"/>
      <c r="K68" s="141" t="s">
        <v>1029</v>
      </c>
      <c r="L68" s="140"/>
      <c r="M68" s="141"/>
      <c r="N68" s="141"/>
      <c r="O68" s="142"/>
      <c r="P68" s="143">
        <f>SUM(O69:O112)</f>
        <v>790.73</v>
      </c>
      <c r="Q68" s="140"/>
      <c r="R68" s="141"/>
      <c r="S68" s="141"/>
      <c r="T68" s="142"/>
      <c r="U68" s="143">
        <f>SUM(T69:T112)</f>
        <v>790.73</v>
      </c>
      <c r="V68" s="144" t="str">
        <f>IF(OR(P68&gt;0,U68&gt;0),"X","")</f>
        <v>X</v>
      </c>
      <c r="W68" s="43" t="str">
        <f t="shared" si="0"/>
        <v>x</v>
      </c>
      <c r="X68" s="43" t="str">
        <f t="shared" si="1"/>
        <v>x</v>
      </c>
      <c r="Y68" s="43" t="str">
        <f t="shared" si="2"/>
        <v>x</v>
      </c>
    </row>
    <row r="69" spans="1:25" hidden="1">
      <c r="A69" s="145">
        <v>400500</v>
      </c>
      <c r="B69" s="146" t="s">
        <v>242</v>
      </c>
      <c r="C69" s="345" t="s">
        <v>233</v>
      </c>
      <c r="D69" s="413"/>
      <c r="E69" s="147">
        <v>20</v>
      </c>
      <c r="F69" s="148">
        <v>1.8</v>
      </c>
      <c r="G69" s="412">
        <f>IF(E69&lt;=30,(0.6*E69+1.25)*F69,((0.6*30+1.25)+0.5*(E69-30))*F69)</f>
        <v>23.85</v>
      </c>
      <c r="H69" s="149">
        <v>50.13</v>
      </c>
      <c r="I69" s="149">
        <f t="shared" ref="I69:I86" si="20">IF(ISBLANK(H69),"",SUM(G69:H69))</f>
        <v>73.98</v>
      </c>
      <c r="J69" s="150">
        <f t="shared" ref="J69:J86" si="21">IF(ISBLANK(H69),0,ROUND(I69*(1+$E$10)*(1+$E$11*D69),2))</f>
        <v>93.81</v>
      </c>
      <c r="K69" s="151" t="s">
        <v>16</v>
      </c>
      <c r="L69" s="152"/>
      <c r="M69" s="152"/>
      <c r="N69" s="153">
        <f t="shared" ref="N69:N86" si="22">IF(ISBLANK(L69),0,ROUND(J69*L69,2))</f>
        <v>0</v>
      </c>
      <c r="O69" s="402">
        <f t="shared" ref="O69:O86" si="23">IF(ISBLANK(M69),0,ROUND(L69*M69,2))</f>
        <v>0</v>
      </c>
      <c r="P69" s="403"/>
      <c r="Q69" s="152">
        <f t="shared" ref="Q69:R86" si="24">L69</f>
        <v>0</v>
      </c>
      <c r="R69" s="152">
        <f t="shared" si="24"/>
        <v>0</v>
      </c>
      <c r="S69" s="402">
        <f t="shared" ref="S69:S86" si="25">IF(ISBLANK(Q69),0,ROUND(J69*Q69,2))</f>
        <v>0</v>
      </c>
      <c r="T69" s="404">
        <f t="shared" ref="T69:T86" si="26">IF(ISBLANK(Q69),0,ROUND(Q69*R69,2))</f>
        <v>0</v>
      </c>
      <c r="U69" s="154"/>
      <c r="W69" s="43" t="str">
        <f t="shared" si="0"/>
        <v/>
      </c>
      <c r="X69" s="43" t="str">
        <f t="shared" si="1"/>
        <v/>
      </c>
      <c r="Y69" s="43" t="str">
        <f t="shared" si="2"/>
        <v/>
      </c>
    </row>
    <row r="70" spans="1:25" hidden="1">
      <c r="A70" s="155">
        <v>401200</v>
      </c>
      <c r="B70" s="156" t="s">
        <v>242</v>
      </c>
      <c r="C70" s="411" t="s">
        <v>230</v>
      </c>
      <c r="D70" s="351"/>
      <c r="E70" s="405"/>
      <c r="F70" s="406"/>
      <c r="G70" s="158"/>
      <c r="H70" s="149">
        <v>0.92</v>
      </c>
      <c r="I70" s="465">
        <f t="shared" si="20"/>
        <v>0.92</v>
      </c>
      <c r="J70" s="407">
        <f t="shared" si="21"/>
        <v>1.17</v>
      </c>
      <c r="K70" s="408" t="s">
        <v>16</v>
      </c>
      <c r="L70" s="152"/>
      <c r="M70" s="152"/>
      <c r="N70" s="153">
        <f t="shared" si="22"/>
        <v>0</v>
      </c>
      <c r="O70" s="402">
        <f t="shared" si="23"/>
        <v>0</v>
      </c>
      <c r="P70" s="403"/>
      <c r="Q70" s="152">
        <f t="shared" si="24"/>
        <v>0</v>
      </c>
      <c r="R70" s="152">
        <f t="shared" si="24"/>
        <v>0</v>
      </c>
      <c r="S70" s="402">
        <f t="shared" si="25"/>
        <v>0</v>
      </c>
      <c r="T70" s="404">
        <f t="shared" si="26"/>
        <v>0</v>
      </c>
      <c r="U70" s="403"/>
      <c r="W70" s="43" t="str">
        <f t="shared" si="0"/>
        <v/>
      </c>
      <c r="X70" s="43" t="str">
        <f t="shared" si="1"/>
        <v/>
      </c>
      <c r="Y70" s="43" t="str">
        <f t="shared" si="2"/>
        <v/>
      </c>
    </row>
    <row r="71" spans="1:25" hidden="1">
      <c r="A71" s="155">
        <v>401100</v>
      </c>
      <c r="B71" s="156" t="s">
        <v>242</v>
      </c>
      <c r="C71" s="411" t="s">
        <v>232</v>
      </c>
      <c r="D71" s="351">
        <v>1</v>
      </c>
      <c r="E71" s="405"/>
      <c r="F71" s="406"/>
      <c r="G71" s="158"/>
      <c r="H71" s="149">
        <v>3.76</v>
      </c>
      <c r="I71" s="465">
        <f t="shared" si="20"/>
        <v>3.76</v>
      </c>
      <c r="J71" s="407">
        <f t="shared" si="21"/>
        <v>4.7699999999999996</v>
      </c>
      <c r="K71" s="408" t="s">
        <v>16</v>
      </c>
      <c r="L71" s="152"/>
      <c r="M71" s="152"/>
      <c r="N71" s="153">
        <f t="shared" si="22"/>
        <v>0</v>
      </c>
      <c r="O71" s="402">
        <f t="shared" si="23"/>
        <v>0</v>
      </c>
      <c r="P71" s="403"/>
      <c r="Q71" s="152">
        <f t="shared" si="24"/>
        <v>0</v>
      </c>
      <c r="R71" s="152">
        <f t="shared" si="24"/>
        <v>0</v>
      </c>
      <c r="S71" s="402">
        <f t="shared" si="25"/>
        <v>0</v>
      </c>
      <c r="T71" s="404">
        <f t="shared" si="26"/>
        <v>0</v>
      </c>
      <c r="U71" s="403"/>
      <c r="W71" s="43" t="str">
        <f t="shared" si="0"/>
        <v/>
      </c>
      <c r="X71" s="43" t="str">
        <f t="shared" si="1"/>
        <v/>
      </c>
      <c r="Y71" s="43" t="str">
        <f t="shared" si="2"/>
        <v/>
      </c>
    </row>
    <row r="72" spans="1:25" hidden="1">
      <c r="A72" s="155">
        <v>401950</v>
      </c>
      <c r="B72" s="156" t="s">
        <v>242</v>
      </c>
      <c r="C72" s="411" t="s">
        <v>231</v>
      </c>
      <c r="D72" s="351">
        <v>1</v>
      </c>
      <c r="E72" s="405"/>
      <c r="F72" s="406"/>
      <c r="G72" s="158"/>
      <c r="H72" s="149">
        <v>3.11</v>
      </c>
      <c r="I72" s="465">
        <f t="shared" si="20"/>
        <v>3.11</v>
      </c>
      <c r="J72" s="407">
        <f t="shared" si="21"/>
        <v>3.94</v>
      </c>
      <c r="K72" s="408" t="s">
        <v>16</v>
      </c>
      <c r="L72" s="152"/>
      <c r="M72" s="152"/>
      <c r="N72" s="402">
        <f t="shared" si="22"/>
        <v>0</v>
      </c>
      <c r="O72" s="402">
        <f t="shared" si="23"/>
        <v>0</v>
      </c>
      <c r="P72" s="403"/>
      <c r="Q72" s="152">
        <f t="shared" si="24"/>
        <v>0</v>
      </c>
      <c r="R72" s="152">
        <f t="shared" si="24"/>
        <v>0</v>
      </c>
      <c r="S72" s="402">
        <f t="shared" si="25"/>
        <v>0</v>
      </c>
      <c r="T72" s="404">
        <f t="shared" si="26"/>
        <v>0</v>
      </c>
      <c r="U72" s="403"/>
      <c r="W72" s="43" t="str">
        <f t="shared" si="0"/>
        <v/>
      </c>
      <c r="X72" s="43" t="str">
        <f t="shared" si="1"/>
        <v/>
      </c>
      <c r="Y72" s="43" t="str">
        <f t="shared" si="2"/>
        <v/>
      </c>
    </row>
    <row r="73" spans="1:25" hidden="1">
      <c r="A73" s="155">
        <v>400000</v>
      </c>
      <c r="B73" s="156" t="s">
        <v>242</v>
      </c>
      <c r="C73" s="411" t="s">
        <v>221</v>
      </c>
      <c r="D73" s="351"/>
      <c r="E73" s="405"/>
      <c r="F73" s="406"/>
      <c r="G73" s="158"/>
      <c r="H73" s="149">
        <v>0.67</v>
      </c>
      <c r="I73" s="465">
        <f t="shared" si="20"/>
        <v>0.67</v>
      </c>
      <c r="J73" s="407">
        <f t="shared" si="21"/>
        <v>0.85</v>
      </c>
      <c r="K73" s="408" t="s">
        <v>18</v>
      </c>
      <c r="L73" s="152"/>
      <c r="M73" s="152"/>
      <c r="N73" s="402">
        <f t="shared" si="22"/>
        <v>0</v>
      </c>
      <c r="O73" s="402">
        <f t="shared" si="23"/>
        <v>0</v>
      </c>
      <c r="P73" s="403"/>
      <c r="Q73" s="152">
        <f t="shared" si="24"/>
        <v>0</v>
      </c>
      <c r="R73" s="152">
        <f t="shared" si="24"/>
        <v>0</v>
      </c>
      <c r="S73" s="402">
        <f t="shared" si="25"/>
        <v>0</v>
      </c>
      <c r="T73" s="404">
        <f t="shared" si="26"/>
        <v>0</v>
      </c>
      <c r="U73" s="403"/>
      <c r="V73" s="144"/>
      <c r="W73" s="43" t="str">
        <f t="shared" si="0"/>
        <v/>
      </c>
      <c r="X73" s="43" t="str">
        <f t="shared" si="1"/>
        <v/>
      </c>
      <c r="Y73" s="43" t="str">
        <f t="shared" si="2"/>
        <v/>
      </c>
    </row>
    <row r="74" spans="1:25" hidden="1">
      <c r="A74" s="155">
        <v>400300</v>
      </c>
      <c r="B74" s="156" t="s">
        <v>242</v>
      </c>
      <c r="C74" s="411" t="s">
        <v>222</v>
      </c>
      <c r="D74" s="351"/>
      <c r="E74" s="405"/>
      <c r="F74" s="406"/>
      <c r="G74" s="158"/>
      <c r="H74" s="149">
        <v>29.82</v>
      </c>
      <c r="I74" s="465">
        <f t="shared" si="20"/>
        <v>29.82</v>
      </c>
      <c r="J74" s="407">
        <f t="shared" si="21"/>
        <v>37.81</v>
      </c>
      <c r="K74" s="408" t="s">
        <v>23</v>
      </c>
      <c r="L74" s="152"/>
      <c r="M74" s="152"/>
      <c r="N74" s="402">
        <f t="shared" si="22"/>
        <v>0</v>
      </c>
      <c r="O74" s="402">
        <f t="shared" si="23"/>
        <v>0</v>
      </c>
      <c r="P74" s="403"/>
      <c r="Q74" s="152">
        <f t="shared" si="24"/>
        <v>0</v>
      </c>
      <c r="R74" s="152">
        <f t="shared" si="24"/>
        <v>0</v>
      </c>
      <c r="S74" s="402">
        <f t="shared" si="25"/>
        <v>0</v>
      </c>
      <c r="T74" s="404">
        <f t="shared" si="26"/>
        <v>0</v>
      </c>
      <c r="U74" s="403"/>
      <c r="V74" s="144"/>
      <c r="W74" s="43" t="str">
        <f t="shared" si="0"/>
        <v/>
      </c>
      <c r="X74" s="43" t="str">
        <f t="shared" si="1"/>
        <v/>
      </c>
      <c r="Y74" s="43" t="str">
        <f t="shared" si="2"/>
        <v/>
      </c>
    </row>
    <row r="75" spans="1:25" hidden="1">
      <c r="A75" s="155">
        <v>511130</v>
      </c>
      <c r="B75" s="156" t="s">
        <v>242</v>
      </c>
      <c r="C75" s="411" t="s">
        <v>617</v>
      </c>
      <c r="D75" s="351"/>
      <c r="E75" s="405"/>
      <c r="F75" s="406"/>
      <c r="G75" s="158"/>
      <c r="H75" s="149">
        <v>0.65</v>
      </c>
      <c r="I75" s="465">
        <f t="shared" si="20"/>
        <v>0.65</v>
      </c>
      <c r="J75" s="407">
        <f t="shared" si="21"/>
        <v>0.82</v>
      </c>
      <c r="K75" s="408" t="s">
        <v>16</v>
      </c>
      <c r="L75" s="152"/>
      <c r="M75" s="152"/>
      <c r="N75" s="402">
        <f t="shared" si="22"/>
        <v>0</v>
      </c>
      <c r="O75" s="402">
        <f t="shared" si="23"/>
        <v>0</v>
      </c>
      <c r="P75" s="403"/>
      <c r="Q75" s="152">
        <f t="shared" si="24"/>
        <v>0</v>
      </c>
      <c r="R75" s="152">
        <f t="shared" si="24"/>
        <v>0</v>
      </c>
      <c r="S75" s="402">
        <f t="shared" si="25"/>
        <v>0</v>
      </c>
      <c r="T75" s="404">
        <f t="shared" si="26"/>
        <v>0</v>
      </c>
      <c r="U75" s="403"/>
      <c r="V75" s="159"/>
      <c r="W75" s="43" t="str">
        <f t="shared" si="0"/>
        <v/>
      </c>
      <c r="X75" s="43" t="str">
        <f t="shared" si="1"/>
        <v/>
      </c>
      <c r="Y75" s="43" t="str">
        <f t="shared" si="2"/>
        <v/>
      </c>
    </row>
    <row r="76" spans="1:25" hidden="1">
      <c r="A76" s="155">
        <v>501000</v>
      </c>
      <c r="B76" s="156" t="s">
        <v>242</v>
      </c>
      <c r="C76" s="411" t="s">
        <v>616</v>
      </c>
      <c r="D76" s="351"/>
      <c r="E76" s="405">
        <v>1</v>
      </c>
      <c r="F76" s="406">
        <v>1.5</v>
      </c>
      <c r="G76" s="412">
        <f>IF(E76&lt;=30,(0.6*E76+1.25)*F76,((0.6*30+1.25)+0.5*(E76-30))*F76)</f>
        <v>2.7750000000000004</v>
      </c>
      <c r="H76" s="149">
        <v>3.57</v>
      </c>
      <c r="I76" s="465">
        <f t="shared" si="20"/>
        <v>6.3450000000000006</v>
      </c>
      <c r="J76" s="407">
        <f t="shared" si="21"/>
        <v>8.0500000000000007</v>
      </c>
      <c r="K76" s="408" t="s">
        <v>16</v>
      </c>
      <c r="L76" s="152"/>
      <c r="M76" s="152"/>
      <c r="N76" s="402">
        <f t="shared" si="22"/>
        <v>0</v>
      </c>
      <c r="O76" s="402">
        <f t="shared" si="23"/>
        <v>0</v>
      </c>
      <c r="P76" s="403"/>
      <c r="Q76" s="152">
        <f t="shared" si="24"/>
        <v>0</v>
      </c>
      <c r="R76" s="152">
        <f t="shared" si="24"/>
        <v>0</v>
      </c>
      <c r="S76" s="402">
        <f t="shared" si="25"/>
        <v>0</v>
      </c>
      <c r="T76" s="404">
        <f t="shared" si="26"/>
        <v>0</v>
      </c>
      <c r="U76" s="403"/>
      <c r="V76" s="159"/>
      <c r="W76" s="43" t="str">
        <f t="shared" si="0"/>
        <v/>
      </c>
      <c r="X76" s="43" t="str">
        <f t="shared" si="1"/>
        <v/>
      </c>
      <c r="Y76" s="43" t="str">
        <f t="shared" si="2"/>
        <v/>
      </c>
    </row>
    <row r="77" spans="1:25" hidden="1">
      <c r="A77" s="155">
        <v>520100</v>
      </c>
      <c r="B77" s="156" t="s">
        <v>242</v>
      </c>
      <c r="C77" s="411" t="s">
        <v>614</v>
      </c>
      <c r="D77" s="351"/>
      <c r="E77" s="405"/>
      <c r="F77" s="406">
        <v>0</v>
      </c>
      <c r="G77" s="158">
        <v>0</v>
      </c>
      <c r="H77" s="149">
        <v>4.5199999999999996</v>
      </c>
      <c r="I77" s="465">
        <f t="shared" si="20"/>
        <v>4.5199999999999996</v>
      </c>
      <c r="J77" s="407">
        <f t="shared" si="21"/>
        <v>5.73</v>
      </c>
      <c r="K77" s="408" t="s">
        <v>16</v>
      </c>
      <c r="L77" s="152"/>
      <c r="M77" s="152"/>
      <c r="N77" s="402">
        <f t="shared" si="22"/>
        <v>0</v>
      </c>
      <c r="O77" s="402">
        <f t="shared" si="23"/>
        <v>0</v>
      </c>
      <c r="P77" s="403"/>
      <c r="Q77" s="152">
        <f t="shared" si="24"/>
        <v>0</v>
      </c>
      <c r="R77" s="152">
        <f t="shared" si="24"/>
        <v>0</v>
      </c>
      <c r="S77" s="402">
        <f t="shared" si="25"/>
        <v>0</v>
      </c>
      <c r="T77" s="404">
        <f t="shared" si="26"/>
        <v>0</v>
      </c>
      <c r="U77" s="403"/>
      <c r="W77" s="43" t="str">
        <f t="shared" si="0"/>
        <v/>
      </c>
      <c r="X77" s="43" t="str">
        <f t="shared" si="1"/>
        <v/>
      </c>
      <c r="Y77" s="43" t="str">
        <f t="shared" si="2"/>
        <v/>
      </c>
    </row>
    <row r="78" spans="1:25" hidden="1">
      <c r="A78" s="155">
        <v>520200</v>
      </c>
      <c r="B78" s="156" t="s">
        <v>242</v>
      </c>
      <c r="C78" s="411" t="s">
        <v>615</v>
      </c>
      <c r="D78" s="351"/>
      <c r="E78" s="405"/>
      <c r="F78" s="406"/>
      <c r="G78" s="158">
        <v>0</v>
      </c>
      <c r="H78" s="149">
        <v>5.21</v>
      </c>
      <c r="I78" s="465">
        <f t="shared" si="20"/>
        <v>5.21</v>
      </c>
      <c r="J78" s="407">
        <f t="shared" si="21"/>
        <v>6.61</v>
      </c>
      <c r="K78" s="408" t="s">
        <v>16</v>
      </c>
      <c r="L78" s="152"/>
      <c r="M78" s="152"/>
      <c r="N78" s="402">
        <f t="shared" si="22"/>
        <v>0</v>
      </c>
      <c r="O78" s="402">
        <f t="shared" si="23"/>
        <v>0</v>
      </c>
      <c r="P78" s="403"/>
      <c r="Q78" s="152">
        <f t="shared" si="24"/>
        <v>0</v>
      </c>
      <c r="R78" s="152">
        <f t="shared" si="24"/>
        <v>0</v>
      </c>
      <c r="S78" s="402">
        <f t="shared" si="25"/>
        <v>0</v>
      </c>
      <c r="T78" s="404">
        <f t="shared" si="26"/>
        <v>0</v>
      </c>
      <c r="U78" s="403"/>
      <c r="W78" s="43" t="str">
        <f t="shared" si="0"/>
        <v/>
      </c>
      <c r="X78" s="43" t="str">
        <f t="shared" si="1"/>
        <v/>
      </c>
      <c r="Y78" s="43" t="str">
        <f t="shared" si="2"/>
        <v/>
      </c>
    </row>
    <row r="79" spans="1:25" hidden="1">
      <c r="A79" s="155">
        <v>411000</v>
      </c>
      <c r="B79" s="156" t="s">
        <v>242</v>
      </c>
      <c r="C79" s="411" t="s">
        <v>225</v>
      </c>
      <c r="D79" s="351"/>
      <c r="E79" s="405">
        <v>1</v>
      </c>
      <c r="F79" s="406">
        <v>0</v>
      </c>
      <c r="G79" s="158">
        <v>0</v>
      </c>
      <c r="H79" s="149">
        <v>5.47</v>
      </c>
      <c r="I79" s="465">
        <f t="shared" si="20"/>
        <v>5.47</v>
      </c>
      <c r="J79" s="407">
        <f t="shared" si="21"/>
        <v>6.94</v>
      </c>
      <c r="K79" s="408" t="s">
        <v>16</v>
      </c>
      <c r="L79" s="152"/>
      <c r="M79" s="152"/>
      <c r="N79" s="402">
        <f t="shared" si="22"/>
        <v>0</v>
      </c>
      <c r="O79" s="402">
        <f t="shared" si="23"/>
        <v>0</v>
      </c>
      <c r="P79" s="403"/>
      <c r="Q79" s="152">
        <f t="shared" si="24"/>
        <v>0</v>
      </c>
      <c r="R79" s="152">
        <f t="shared" si="24"/>
        <v>0</v>
      </c>
      <c r="S79" s="402">
        <f t="shared" si="25"/>
        <v>0</v>
      </c>
      <c r="T79" s="404">
        <f t="shared" si="26"/>
        <v>0</v>
      </c>
      <c r="U79" s="403"/>
      <c r="W79" s="43" t="str">
        <f t="shared" si="0"/>
        <v/>
      </c>
      <c r="X79" s="43" t="str">
        <f t="shared" si="1"/>
        <v/>
      </c>
      <c r="Y79" s="43" t="str">
        <f t="shared" si="2"/>
        <v/>
      </c>
    </row>
    <row r="80" spans="1:25" hidden="1">
      <c r="A80" s="155">
        <v>421000</v>
      </c>
      <c r="B80" s="156" t="s">
        <v>242</v>
      </c>
      <c r="C80" s="411" t="s">
        <v>226</v>
      </c>
      <c r="D80" s="351"/>
      <c r="E80" s="405">
        <v>1</v>
      </c>
      <c r="F80" s="406"/>
      <c r="G80" s="158">
        <v>0</v>
      </c>
      <c r="H80" s="149">
        <v>7.36</v>
      </c>
      <c r="I80" s="465">
        <f t="shared" si="20"/>
        <v>7.36</v>
      </c>
      <c r="J80" s="407">
        <f t="shared" si="21"/>
        <v>9.33</v>
      </c>
      <c r="K80" s="408" t="s">
        <v>16</v>
      </c>
      <c r="L80" s="152"/>
      <c r="M80" s="152"/>
      <c r="N80" s="402">
        <f t="shared" si="22"/>
        <v>0</v>
      </c>
      <c r="O80" s="402">
        <f t="shared" si="23"/>
        <v>0</v>
      </c>
      <c r="P80" s="403"/>
      <c r="Q80" s="152">
        <f t="shared" si="24"/>
        <v>0</v>
      </c>
      <c r="R80" s="152">
        <f t="shared" si="24"/>
        <v>0</v>
      </c>
      <c r="S80" s="402">
        <f t="shared" si="25"/>
        <v>0</v>
      </c>
      <c r="T80" s="404">
        <f t="shared" si="26"/>
        <v>0</v>
      </c>
      <c r="U80" s="403"/>
      <c r="W80" s="43" t="str">
        <f t="shared" si="0"/>
        <v/>
      </c>
      <c r="X80" s="43" t="str">
        <f t="shared" si="1"/>
        <v/>
      </c>
      <c r="Y80" s="43" t="str">
        <f t="shared" si="2"/>
        <v/>
      </c>
    </row>
    <row r="81" spans="1:25" hidden="1">
      <c r="A81" s="155">
        <v>431010</v>
      </c>
      <c r="B81" s="156" t="s">
        <v>242</v>
      </c>
      <c r="C81" s="411" t="s">
        <v>227</v>
      </c>
      <c r="D81" s="351"/>
      <c r="E81" s="405">
        <v>1</v>
      </c>
      <c r="F81" s="406">
        <v>0</v>
      </c>
      <c r="G81" s="158">
        <v>0</v>
      </c>
      <c r="H81" s="149">
        <v>21.61</v>
      </c>
      <c r="I81" s="465">
        <f t="shared" si="20"/>
        <v>21.61</v>
      </c>
      <c r="J81" s="407">
        <f t="shared" si="21"/>
        <v>27.4</v>
      </c>
      <c r="K81" s="408" t="s">
        <v>16</v>
      </c>
      <c r="L81" s="152"/>
      <c r="M81" s="152"/>
      <c r="N81" s="402">
        <f t="shared" si="22"/>
        <v>0</v>
      </c>
      <c r="O81" s="402">
        <f t="shared" si="23"/>
        <v>0</v>
      </c>
      <c r="P81" s="403"/>
      <c r="Q81" s="152">
        <f t="shared" si="24"/>
        <v>0</v>
      </c>
      <c r="R81" s="152">
        <f t="shared" si="24"/>
        <v>0</v>
      </c>
      <c r="S81" s="402">
        <f t="shared" si="25"/>
        <v>0</v>
      </c>
      <c r="T81" s="404">
        <f t="shared" si="26"/>
        <v>0</v>
      </c>
      <c r="U81" s="403"/>
      <c r="W81" s="43" t="str">
        <f t="shared" si="0"/>
        <v/>
      </c>
      <c r="X81" s="43" t="str">
        <f t="shared" si="1"/>
        <v/>
      </c>
      <c r="Y81" s="43" t="str">
        <f t="shared" si="2"/>
        <v/>
      </c>
    </row>
    <row r="82" spans="1:25" ht="13.5" thickBot="1">
      <c r="A82" s="155">
        <v>520100</v>
      </c>
      <c r="B82" s="156" t="s">
        <v>242</v>
      </c>
      <c r="C82" s="411" t="s">
        <v>228</v>
      </c>
      <c r="D82" s="351"/>
      <c r="E82" s="405"/>
      <c r="F82" s="406">
        <v>1.5</v>
      </c>
      <c r="G82" s="412">
        <f>IF(E82&lt;=30,(0.6*E82+1.25)*F82,((0.6*30+1.25)+0.5*(E82-30))*F82)</f>
        <v>1.875</v>
      </c>
      <c r="H82" s="149">
        <v>4.5199999999999996</v>
      </c>
      <c r="I82" s="465">
        <f t="shared" si="20"/>
        <v>6.3949999999999996</v>
      </c>
      <c r="J82" s="407">
        <f t="shared" si="21"/>
        <v>8.11</v>
      </c>
      <c r="K82" s="408" t="s">
        <v>16</v>
      </c>
      <c r="L82" s="152">
        <v>97.5</v>
      </c>
      <c r="M82" s="152">
        <v>8.11</v>
      </c>
      <c r="N82" s="402">
        <f t="shared" si="22"/>
        <v>790.73</v>
      </c>
      <c r="O82" s="402">
        <f t="shared" si="23"/>
        <v>790.73</v>
      </c>
      <c r="P82" s="403"/>
      <c r="Q82" s="152">
        <f t="shared" si="24"/>
        <v>97.5</v>
      </c>
      <c r="R82" s="152">
        <f t="shared" si="24"/>
        <v>8.11</v>
      </c>
      <c r="S82" s="402">
        <f t="shared" si="25"/>
        <v>790.73</v>
      </c>
      <c r="T82" s="404">
        <f t="shared" si="26"/>
        <v>790.73</v>
      </c>
      <c r="U82" s="403"/>
      <c r="W82" s="43" t="str">
        <f t="shared" si="0"/>
        <v>x</v>
      </c>
      <c r="X82" s="43" t="str">
        <f t="shared" ref="X82:X131" si="27">IF(V82="X","x",IF(V82="y","x",IF(V82="xx","x",IF(T82&gt;0,"x",""))))</f>
        <v>x</v>
      </c>
      <c r="Y82" s="43" t="str">
        <f t="shared" ref="Y82:Y145" si="28">IF(V82="X","x",IF(T82&gt;0,"x",""))</f>
        <v>x</v>
      </c>
    </row>
    <row r="83" spans="1:25" ht="13.5" hidden="1" thickBot="1">
      <c r="A83" s="155">
        <v>520200</v>
      </c>
      <c r="B83" s="156" t="s">
        <v>242</v>
      </c>
      <c r="C83" s="411" t="s">
        <v>229</v>
      </c>
      <c r="D83" s="351"/>
      <c r="E83" s="405">
        <v>4</v>
      </c>
      <c r="F83" s="406">
        <v>1.5</v>
      </c>
      <c r="G83" s="412">
        <f>IF(E83&lt;=30,(0.6*E83+1.25)*F83,((0.6*30+1.25)+0.5*(E83-30))*F83)</f>
        <v>5.4749999999999996</v>
      </c>
      <c r="H83" s="149">
        <v>5.21</v>
      </c>
      <c r="I83" s="465">
        <f t="shared" si="20"/>
        <v>10.684999999999999</v>
      </c>
      <c r="J83" s="407">
        <f t="shared" si="21"/>
        <v>13.55</v>
      </c>
      <c r="K83" s="408" t="s">
        <v>16</v>
      </c>
      <c r="L83" s="152"/>
      <c r="M83" s="152"/>
      <c r="N83" s="402">
        <f t="shared" si="22"/>
        <v>0</v>
      </c>
      <c r="O83" s="402">
        <f t="shared" si="23"/>
        <v>0</v>
      </c>
      <c r="P83" s="403"/>
      <c r="Q83" s="152">
        <f t="shared" si="24"/>
        <v>0</v>
      </c>
      <c r="R83" s="152">
        <f t="shared" si="24"/>
        <v>0</v>
      </c>
      <c r="S83" s="402">
        <f t="shared" si="25"/>
        <v>0</v>
      </c>
      <c r="T83" s="404">
        <f t="shared" si="26"/>
        <v>0</v>
      </c>
      <c r="U83" s="403"/>
      <c r="W83" s="43" t="str">
        <f t="shared" si="0"/>
        <v/>
      </c>
      <c r="X83" s="43" t="str">
        <f t="shared" si="27"/>
        <v/>
      </c>
      <c r="Y83" s="43" t="str">
        <f t="shared" si="28"/>
        <v/>
      </c>
    </row>
    <row r="84" spans="1:25" ht="13.5" hidden="1" thickBot="1">
      <c r="A84" s="155" t="s">
        <v>999</v>
      </c>
      <c r="B84" s="156" t="s">
        <v>242</v>
      </c>
      <c r="C84" s="411" t="s">
        <v>224</v>
      </c>
      <c r="D84" s="351"/>
      <c r="E84" s="405">
        <v>1</v>
      </c>
      <c r="F84" s="406"/>
      <c r="G84" s="158">
        <f>IF(E84&lt;=30,(0.57*E84+1.18)*F84,((0.57*30+1.18)+0.47*(E84-30))*F84)</f>
        <v>0</v>
      </c>
      <c r="H84" s="149">
        <v>5.47</v>
      </c>
      <c r="I84" s="465">
        <f t="shared" si="20"/>
        <v>5.47</v>
      </c>
      <c r="J84" s="407">
        <f t="shared" si="21"/>
        <v>6.94</v>
      </c>
      <c r="K84" s="408" t="s">
        <v>16</v>
      </c>
      <c r="L84" s="152"/>
      <c r="M84" s="152"/>
      <c r="N84" s="402">
        <f t="shared" si="22"/>
        <v>0</v>
      </c>
      <c r="O84" s="402">
        <f t="shared" si="23"/>
        <v>0</v>
      </c>
      <c r="P84" s="403"/>
      <c r="Q84" s="152">
        <f t="shared" si="24"/>
        <v>0</v>
      </c>
      <c r="R84" s="152">
        <f t="shared" si="24"/>
        <v>0</v>
      </c>
      <c r="S84" s="402">
        <f t="shared" si="25"/>
        <v>0</v>
      </c>
      <c r="T84" s="404">
        <f t="shared" si="26"/>
        <v>0</v>
      </c>
      <c r="U84" s="403"/>
      <c r="V84" s="159"/>
      <c r="W84" s="43" t="str">
        <f t="shared" si="0"/>
        <v/>
      </c>
      <c r="X84" s="43" t="str">
        <f t="shared" si="27"/>
        <v/>
      </c>
      <c r="Y84" s="43" t="str">
        <f t="shared" si="28"/>
        <v/>
      </c>
    </row>
    <row r="85" spans="1:25" ht="13.5" hidden="1" thickBot="1">
      <c r="A85" s="155">
        <v>420200</v>
      </c>
      <c r="B85" s="156" t="s">
        <v>242</v>
      </c>
      <c r="C85" s="411" t="s">
        <v>1000</v>
      </c>
      <c r="D85" s="351"/>
      <c r="E85" s="405">
        <v>1</v>
      </c>
      <c r="F85" s="406"/>
      <c r="G85" s="158">
        <f>IF(E85&lt;=30,(0.57*E85+1.18)*F85,((0.57*30+1.18)+0.47*(E85-30))*F85)</f>
        <v>0</v>
      </c>
      <c r="H85" s="149">
        <v>6.69</v>
      </c>
      <c r="I85" s="465">
        <f>IF(ISBLANK(H85),"",SUM(G85:H85))*0.9</f>
        <v>6.0210000000000008</v>
      </c>
      <c r="J85" s="407">
        <f t="shared" si="21"/>
        <v>7.63</v>
      </c>
      <c r="K85" s="408" t="s">
        <v>16</v>
      </c>
      <c r="L85" s="152"/>
      <c r="M85" s="152"/>
      <c r="N85" s="402">
        <f t="shared" si="22"/>
        <v>0</v>
      </c>
      <c r="O85" s="402">
        <f t="shared" si="23"/>
        <v>0</v>
      </c>
      <c r="P85" s="403"/>
      <c r="Q85" s="152">
        <f t="shared" si="24"/>
        <v>0</v>
      </c>
      <c r="R85" s="152">
        <f t="shared" si="24"/>
        <v>0</v>
      </c>
      <c r="S85" s="402">
        <f t="shared" si="25"/>
        <v>0</v>
      </c>
      <c r="T85" s="404">
        <f t="shared" si="26"/>
        <v>0</v>
      </c>
      <c r="U85" s="403"/>
      <c r="V85" s="159"/>
      <c r="W85" s="43" t="str">
        <f t="shared" si="0"/>
        <v/>
      </c>
      <c r="X85" s="43" t="str">
        <f t="shared" si="27"/>
        <v/>
      </c>
      <c r="Y85" s="43" t="str">
        <f t="shared" si="28"/>
        <v/>
      </c>
    </row>
    <row r="86" spans="1:25" ht="13.5" hidden="1" thickBot="1">
      <c r="A86" s="155">
        <v>404000</v>
      </c>
      <c r="B86" s="156" t="s">
        <v>242</v>
      </c>
      <c r="C86" s="411" t="s">
        <v>223</v>
      </c>
      <c r="D86" s="351"/>
      <c r="E86" s="405">
        <v>2</v>
      </c>
      <c r="F86" s="406">
        <v>1.5</v>
      </c>
      <c r="G86" s="412">
        <f>IF(E86&lt;=30,(0.6*E86+1.25)*F86,((0.6*30+1.25)+0.5*(E86-30))*F86)</f>
        <v>3.6750000000000003</v>
      </c>
      <c r="H86" s="149">
        <v>6.58</v>
      </c>
      <c r="I86" s="465">
        <f t="shared" si="20"/>
        <v>10.255000000000001</v>
      </c>
      <c r="J86" s="407">
        <f t="shared" si="21"/>
        <v>13</v>
      </c>
      <c r="K86" s="408" t="s">
        <v>16</v>
      </c>
      <c r="L86" s="152"/>
      <c r="M86" s="152"/>
      <c r="N86" s="402">
        <f t="shared" si="22"/>
        <v>0</v>
      </c>
      <c r="O86" s="402">
        <f t="shared" si="23"/>
        <v>0</v>
      </c>
      <c r="P86" s="403"/>
      <c r="Q86" s="152">
        <f t="shared" si="24"/>
        <v>0</v>
      </c>
      <c r="R86" s="152">
        <f t="shared" si="24"/>
        <v>0</v>
      </c>
      <c r="S86" s="402">
        <f t="shared" si="25"/>
        <v>0</v>
      </c>
      <c r="T86" s="404">
        <f t="shared" si="26"/>
        <v>0</v>
      </c>
      <c r="U86" s="403"/>
      <c r="V86" s="159"/>
      <c r="W86" s="43" t="str">
        <f t="shared" si="0"/>
        <v/>
      </c>
      <c r="X86" s="43" t="str">
        <f t="shared" si="27"/>
        <v/>
      </c>
      <c r="Y86" s="43" t="str">
        <f t="shared" si="28"/>
        <v/>
      </c>
    </row>
    <row r="87" spans="1:25" ht="13.5" hidden="1" thickBot="1">
      <c r="A87" s="400" t="s">
        <v>217</v>
      </c>
      <c r="B87" s="206"/>
      <c r="C87" s="344" t="s">
        <v>216</v>
      </c>
      <c r="D87" s="185"/>
      <c r="E87" s="207"/>
      <c r="F87" s="208"/>
      <c r="G87" s="209"/>
      <c r="H87" s="210"/>
      <c r="I87" s="210"/>
      <c r="J87" s="210"/>
      <c r="K87" s="210" t="s">
        <v>1029</v>
      </c>
      <c r="L87" s="209"/>
      <c r="M87" s="210"/>
      <c r="N87" s="210"/>
      <c r="O87" s="211"/>
      <c r="P87" s="403"/>
      <c r="Q87" s="209"/>
      <c r="R87" s="210"/>
      <c r="S87" s="210"/>
      <c r="T87" s="211"/>
      <c r="U87" s="403"/>
      <c r="V87" s="144" t="str">
        <f>IF(OR(SUM(O88:O112)&gt;0,SUM(T88:T112)&gt;0),"y","")</f>
        <v/>
      </c>
      <c r="W87" s="43" t="str">
        <f t="shared" ref="W87:W150" si="29">IF(V87="X","x",IF(V87="xx","x",IF(V87="xy","x",IF(V87="y","x",IF(OR(O87&gt;0,T87&gt;0),"x","")))))</f>
        <v/>
      </c>
      <c r="X87" s="43" t="str">
        <f t="shared" si="27"/>
        <v/>
      </c>
      <c r="Y87" s="43" t="str">
        <f t="shared" si="28"/>
        <v/>
      </c>
    </row>
    <row r="88" spans="1:25" ht="13.5" hidden="1" thickBot="1">
      <c r="A88" s="397" t="s">
        <v>217</v>
      </c>
      <c r="B88" s="165" t="s">
        <v>217</v>
      </c>
      <c r="C88" s="203"/>
      <c r="D88" s="167"/>
      <c r="E88" s="170"/>
      <c r="F88" s="169"/>
      <c r="G88" s="170"/>
      <c r="H88" s="171"/>
      <c r="I88" s="452"/>
      <c r="J88" s="453">
        <f t="shared" ref="J88:J112" si="30">IF(ISBLANK(I88),0,ROUND(I88*(1+$E$10)*(1+$E$11*D88),2))</f>
        <v>0</v>
      </c>
      <c r="K88" s="392" t="s">
        <v>1029</v>
      </c>
      <c r="L88" s="204"/>
      <c r="M88" s="204"/>
      <c r="N88" s="402">
        <f t="shared" ref="N88" si="31">IF(ISBLANK(L88),0,ROUND(J88*L88,2))</f>
        <v>0</v>
      </c>
      <c r="O88" s="404">
        <f t="shared" ref="O88:O112" si="32">IF(ISBLANK(M88),0,ROUND(L88*M88,2))</f>
        <v>0</v>
      </c>
      <c r="P88" s="403"/>
      <c r="Q88" s="205">
        <f t="shared" ref="Q88:R112" si="33">L88</f>
        <v>0</v>
      </c>
      <c r="R88" s="204">
        <f t="shared" si="33"/>
        <v>0</v>
      </c>
      <c r="S88" s="402">
        <f t="shared" ref="S88:S112" si="34">IF(ISBLANK(Q88),0,ROUND(J88*Q88,2))</f>
        <v>0</v>
      </c>
      <c r="T88" s="404">
        <f t="shared" ref="T88:T112" si="35">IF(ISBLANK(Q88),0,ROUND(Q88*R88,2))</f>
        <v>0</v>
      </c>
      <c r="U88" s="403"/>
      <c r="W88" s="43" t="str">
        <f t="shared" si="29"/>
        <v/>
      </c>
      <c r="X88" s="43" t="str">
        <f t="shared" si="27"/>
        <v/>
      </c>
      <c r="Y88" s="43" t="str">
        <f t="shared" si="28"/>
        <v/>
      </c>
    </row>
    <row r="89" spans="1:25" ht="13.5" hidden="1" thickBot="1">
      <c r="A89" s="397" t="s">
        <v>217</v>
      </c>
      <c r="B89" s="165" t="s">
        <v>217</v>
      </c>
      <c r="C89" s="166"/>
      <c r="D89" s="167"/>
      <c r="E89" s="168"/>
      <c r="F89" s="169"/>
      <c r="G89" s="170"/>
      <c r="H89" s="171"/>
      <c r="I89" s="452"/>
      <c r="J89" s="454">
        <f t="shared" si="30"/>
        <v>0</v>
      </c>
      <c r="K89" s="392" t="s">
        <v>1029</v>
      </c>
      <c r="L89" s="152"/>
      <c r="M89" s="152"/>
      <c r="N89" s="402">
        <f>IF(ISBLANK(L89),0,ROUND(J89*L89,2))</f>
        <v>0</v>
      </c>
      <c r="O89" s="402">
        <f t="shared" si="32"/>
        <v>0</v>
      </c>
      <c r="P89" s="403"/>
      <c r="Q89" s="152">
        <f t="shared" si="33"/>
        <v>0</v>
      </c>
      <c r="R89" s="152">
        <f t="shared" si="33"/>
        <v>0</v>
      </c>
      <c r="S89" s="402">
        <f t="shared" si="34"/>
        <v>0</v>
      </c>
      <c r="T89" s="164">
        <f t="shared" si="35"/>
        <v>0</v>
      </c>
      <c r="U89" s="403"/>
      <c r="W89" s="43" t="str">
        <f t="shared" si="29"/>
        <v/>
      </c>
      <c r="X89" s="43" t="str">
        <f t="shared" si="27"/>
        <v/>
      </c>
      <c r="Y89" s="43" t="str">
        <f t="shared" si="28"/>
        <v/>
      </c>
    </row>
    <row r="90" spans="1:25" ht="13.5" hidden="1" thickBot="1">
      <c r="A90" s="397" t="s">
        <v>217</v>
      </c>
      <c r="B90" s="165" t="s">
        <v>217</v>
      </c>
      <c r="C90" s="166"/>
      <c r="D90" s="167"/>
      <c r="E90" s="168"/>
      <c r="F90" s="169"/>
      <c r="G90" s="170"/>
      <c r="H90" s="171"/>
      <c r="I90" s="452"/>
      <c r="J90" s="454">
        <f t="shared" si="30"/>
        <v>0</v>
      </c>
      <c r="K90" s="392" t="s">
        <v>1029</v>
      </c>
      <c r="L90" s="152"/>
      <c r="M90" s="152"/>
      <c r="N90" s="402">
        <f t="shared" ref="N90:N112" si="36">IF(ISBLANK(L90),0,ROUND(J90*L90,2))</f>
        <v>0</v>
      </c>
      <c r="O90" s="402">
        <f t="shared" si="32"/>
        <v>0</v>
      </c>
      <c r="P90" s="403"/>
      <c r="Q90" s="152">
        <f t="shared" si="33"/>
        <v>0</v>
      </c>
      <c r="R90" s="152">
        <f t="shared" si="33"/>
        <v>0</v>
      </c>
      <c r="S90" s="402">
        <f t="shared" si="34"/>
        <v>0</v>
      </c>
      <c r="T90" s="404">
        <f t="shared" si="35"/>
        <v>0</v>
      </c>
      <c r="U90" s="403"/>
      <c r="W90" s="43" t="str">
        <f t="shared" si="29"/>
        <v/>
      </c>
      <c r="X90" s="43" t="str">
        <f t="shared" si="27"/>
        <v/>
      </c>
      <c r="Y90" s="43" t="str">
        <f t="shared" si="28"/>
        <v/>
      </c>
    </row>
    <row r="91" spans="1:25" ht="13.5" hidden="1" thickBot="1">
      <c r="A91" s="397" t="s">
        <v>217</v>
      </c>
      <c r="B91" s="165" t="s">
        <v>217</v>
      </c>
      <c r="C91" s="166"/>
      <c r="D91" s="167"/>
      <c r="E91" s="168"/>
      <c r="F91" s="169"/>
      <c r="G91" s="170"/>
      <c r="H91" s="171"/>
      <c r="I91" s="452"/>
      <c r="J91" s="454">
        <f t="shared" si="30"/>
        <v>0</v>
      </c>
      <c r="K91" s="392" t="s">
        <v>1029</v>
      </c>
      <c r="L91" s="152"/>
      <c r="M91" s="152"/>
      <c r="N91" s="402">
        <f t="shared" si="36"/>
        <v>0</v>
      </c>
      <c r="O91" s="402">
        <f t="shared" si="32"/>
        <v>0</v>
      </c>
      <c r="P91" s="403"/>
      <c r="Q91" s="152">
        <f t="shared" si="33"/>
        <v>0</v>
      </c>
      <c r="R91" s="152">
        <f t="shared" si="33"/>
        <v>0</v>
      </c>
      <c r="S91" s="402">
        <f t="shared" si="34"/>
        <v>0</v>
      </c>
      <c r="T91" s="404">
        <f t="shared" si="35"/>
        <v>0</v>
      </c>
      <c r="U91" s="403"/>
      <c r="W91" s="43" t="str">
        <f t="shared" si="29"/>
        <v/>
      </c>
      <c r="X91" s="43" t="str">
        <f t="shared" si="27"/>
        <v/>
      </c>
      <c r="Y91" s="43" t="str">
        <f t="shared" si="28"/>
        <v/>
      </c>
    </row>
    <row r="92" spans="1:25" ht="13.5" hidden="1" thickBot="1">
      <c r="A92" s="397" t="s">
        <v>217</v>
      </c>
      <c r="B92" s="165" t="s">
        <v>217</v>
      </c>
      <c r="C92" s="166"/>
      <c r="D92" s="167"/>
      <c r="E92" s="168"/>
      <c r="F92" s="169"/>
      <c r="G92" s="170"/>
      <c r="H92" s="171"/>
      <c r="I92" s="452"/>
      <c r="J92" s="454">
        <f t="shared" si="30"/>
        <v>0</v>
      </c>
      <c r="K92" s="392" t="s">
        <v>1029</v>
      </c>
      <c r="L92" s="152"/>
      <c r="M92" s="152"/>
      <c r="N92" s="402">
        <f t="shared" si="36"/>
        <v>0</v>
      </c>
      <c r="O92" s="402">
        <f t="shared" si="32"/>
        <v>0</v>
      </c>
      <c r="P92" s="403"/>
      <c r="Q92" s="152">
        <f t="shared" si="33"/>
        <v>0</v>
      </c>
      <c r="R92" s="152">
        <f t="shared" si="33"/>
        <v>0</v>
      </c>
      <c r="S92" s="402">
        <f t="shared" si="34"/>
        <v>0</v>
      </c>
      <c r="T92" s="404">
        <f t="shared" si="35"/>
        <v>0</v>
      </c>
      <c r="U92" s="403"/>
      <c r="W92" s="43" t="str">
        <f t="shared" si="29"/>
        <v/>
      </c>
      <c r="X92" s="43" t="str">
        <f t="shared" si="27"/>
        <v/>
      </c>
      <c r="Y92" s="43" t="str">
        <f t="shared" si="28"/>
        <v/>
      </c>
    </row>
    <row r="93" spans="1:25" ht="13.5" hidden="1" thickBot="1">
      <c r="A93" s="397" t="s">
        <v>217</v>
      </c>
      <c r="B93" s="165" t="s">
        <v>217</v>
      </c>
      <c r="C93" s="166"/>
      <c r="D93" s="167"/>
      <c r="E93" s="168"/>
      <c r="F93" s="169"/>
      <c r="G93" s="170"/>
      <c r="H93" s="171"/>
      <c r="I93" s="452"/>
      <c r="J93" s="454">
        <f t="shared" si="30"/>
        <v>0</v>
      </c>
      <c r="K93" s="392" t="s">
        <v>1029</v>
      </c>
      <c r="L93" s="152"/>
      <c r="M93" s="152"/>
      <c r="N93" s="402">
        <f t="shared" si="36"/>
        <v>0</v>
      </c>
      <c r="O93" s="402">
        <f t="shared" si="32"/>
        <v>0</v>
      </c>
      <c r="P93" s="403"/>
      <c r="Q93" s="152">
        <f t="shared" si="33"/>
        <v>0</v>
      </c>
      <c r="R93" s="152">
        <f t="shared" si="33"/>
        <v>0</v>
      </c>
      <c r="S93" s="402">
        <f t="shared" si="34"/>
        <v>0</v>
      </c>
      <c r="T93" s="404">
        <f t="shared" si="35"/>
        <v>0</v>
      </c>
      <c r="U93" s="403"/>
      <c r="W93" s="43" t="str">
        <f t="shared" si="29"/>
        <v/>
      </c>
      <c r="X93" s="43" t="str">
        <f t="shared" si="27"/>
        <v/>
      </c>
      <c r="Y93" s="43" t="str">
        <f t="shared" si="28"/>
        <v/>
      </c>
    </row>
    <row r="94" spans="1:25" ht="13.5" hidden="1" thickBot="1">
      <c r="A94" s="397" t="s">
        <v>217</v>
      </c>
      <c r="B94" s="165" t="s">
        <v>217</v>
      </c>
      <c r="C94" s="166"/>
      <c r="D94" s="167"/>
      <c r="E94" s="168"/>
      <c r="F94" s="169"/>
      <c r="G94" s="170"/>
      <c r="H94" s="171"/>
      <c r="I94" s="452"/>
      <c r="J94" s="454">
        <f t="shared" si="30"/>
        <v>0</v>
      </c>
      <c r="K94" s="392" t="s">
        <v>1029</v>
      </c>
      <c r="L94" s="152"/>
      <c r="M94" s="152"/>
      <c r="N94" s="402">
        <f t="shared" si="36"/>
        <v>0</v>
      </c>
      <c r="O94" s="402">
        <f t="shared" si="32"/>
        <v>0</v>
      </c>
      <c r="P94" s="403"/>
      <c r="Q94" s="152">
        <f t="shared" si="33"/>
        <v>0</v>
      </c>
      <c r="R94" s="152">
        <f t="shared" si="33"/>
        <v>0</v>
      </c>
      <c r="S94" s="402">
        <f t="shared" si="34"/>
        <v>0</v>
      </c>
      <c r="T94" s="404">
        <f t="shared" si="35"/>
        <v>0</v>
      </c>
      <c r="U94" s="403"/>
      <c r="W94" s="43" t="str">
        <f t="shared" si="29"/>
        <v/>
      </c>
      <c r="X94" s="43" t="str">
        <f t="shared" si="27"/>
        <v/>
      </c>
      <c r="Y94" s="43" t="str">
        <f t="shared" si="28"/>
        <v/>
      </c>
    </row>
    <row r="95" spans="1:25" ht="13.5" hidden="1" thickBot="1">
      <c r="A95" s="397" t="s">
        <v>217</v>
      </c>
      <c r="B95" s="165" t="s">
        <v>217</v>
      </c>
      <c r="C95" s="166"/>
      <c r="D95" s="167"/>
      <c r="E95" s="168"/>
      <c r="F95" s="169"/>
      <c r="G95" s="170"/>
      <c r="H95" s="171"/>
      <c r="I95" s="452"/>
      <c r="J95" s="454">
        <f t="shared" si="30"/>
        <v>0</v>
      </c>
      <c r="K95" s="392" t="s">
        <v>1029</v>
      </c>
      <c r="L95" s="152"/>
      <c r="M95" s="152"/>
      <c r="N95" s="402">
        <f t="shared" si="36"/>
        <v>0</v>
      </c>
      <c r="O95" s="402">
        <f t="shared" si="32"/>
        <v>0</v>
      </c>
      <c r="P95" s="403"/>
      <c r="Q95" s="152">
        <f t="shared" si="33"/>
        <v>0</v>
      </c>
      <c r="R95" s="152">
        <f t="shared" si="33"/>
        <v>0</v>
      </c>
      <c r="S95" s="402">
        <f t="shared" si="34"/>
        <v>0</v>
      </c>
      <c r="T95" s="404">
        <f t="shared" si="35"/>
        <v>0</v>
      </c>
      <c r="U95" s="403"/>
      <c r="W95" s="43" t="str">
        <f t="shared" si="29"/>
        <v/>
      </c>
      <c r="X95" s="43" t="str">
        <f t="shared" si="27"/>
        <v/>
      </c>
      <c r="Y95" s="43" t="str">
        <f t="shared" si="28"/>
        <v/>
      </c>
    </row>
    <row r="96" spans="1:25" ht="13.5" hidden="1" thickBot="1">
      <c r="A96" s="397" t="s">
        <v>217</v>
      </c>
      <c r="B96" s="165" t="s">
        <v>217</v>
      </c>
      <c r="C96" s="166"/>
      <c r="D96" s="167"/>
      <c r="E96" s="168"/>
      <c r="F96" s="169"/>
      <c r="G96" s="170"/>
      <c r="H96" s="171"/>
      <c r="I96" s="452"/>
      <c r="J96" s="454">
        <f t="shared" si="30"/>
        <v>0</v>
      </c>
      <c r="K96" s="392" t="s">
        <v>1029</v>
      </c>
      <c r="L96" s="152"/>
      <c r="M96" s="152"/>
      <c r="N96" s="402">
        <f t="shared" si="36"/>
        <v>0</v>
      </c>
      <c r="O96" s="402">
        <f t="shared" si="32"/>
        <v>0</v>
      </c>
      <c r="P96" s="403"/>
      <c r="Q96" s="152">
        <f t="shared" si="33"/>
        <v>0</v>
      </c>
      <c r="R96" s="152">
        <f t="shared" si="33"/>
        <v>0</v>
      </c>
      <c r="S96" s="402">
        <f t="shared" si="34"/>
        <v>0</v>
      </c>
      <c r="T96" s="404">
        <f t="shared" si="35"/>
        <v>0</v>
      </c>
      <c r="U96" s="403"/>
      <c r="W96" s="43" t="str">
        <f t="shared" si="29"/>
        <v/>
      </c>
      <c r="X96" s="43" t="str">
        <f t="shared" si="27"/>
        <v/>
      </c>
      <c r="Y96" s="43" t="str">
        <f t="shared" si="28"/>
        <v/>
      </c>
    </row>
    <row r="97" spans="1:25" ht="13.5" hidden="1" thickBot="1">
      <c r="A97" s="397" t="s">
        <v>217</v>
      </c>
      <c r="B97" s="165" t="s">
        <v>217</v>
      </c>
      <c r="C97" s="166"/>
      <c r="D97" s="167"/>
      <c r="E97" s="168"/>
      <c r="F97" s="169"/>
      <c r="G97" s="170"/>
      <c r="H97" s="171"/>
      <c r="I97" s="452"/>
      <c r="J97" s="454">
        <f t="shared" si="30"/>
        <v>0</v>
      </c>
      <c r="K97" s="392" t="s">
        <v>1029</v>
      </c>
      <c r="L97" s="152"/>
      <c r="M97" s="152"/>
      <c r="N97" s="402">
        <f t="shared" si="36"/>
        <v>0</v>
      </c>
      <c r="O97" s="402">
        <f t="shared" si="32"/>
        <v>0</v>
      </c>
      <c r="P97" s="403"/>
      <c r="Q97" s="152">
        <f t="shared" si="33"/>
        <v>0</v>
      </c>
      <c r="R97" s="152">
        <f t="shared" si="33"/>
        <v>0</v>
      </c>
      <c r="S97" s="402">
        <f t="shared" si="34"/>
        <v>0</v>
      </c>
      <c r="T97" s="404">
        <f t="shared" si="35"/>
        <v>0</v>
      </c>
      <c r="U97" s="403"/>
      <c r="W97" s="43" t="str">
        <f t="shared" si="29"/>
        <v/>
      </c>
      <c r="X97" s="43" t="str">
        <f t="shared" si="27"/>
        <v/>
      </c>
      <c r="Y97" s="43" t="str">
        <f t="shared" si="28"/>
        <v/>
      </c>
    </row>
    <row r="98" spans="1:25" ht="13.5" hidden="1" thickBot="1">
      <c r="A98" s="397" t="s">
        <v>217</v>
      </c>
      <c r="B98" s="165" t="s">
        <v>217</v>
      </c>
      <c r="C98" s="166"/>
      <c r="D98" s="167"/>
      <c r="E98" s="168"/>
      <c r="F98" s="169"/>
      <c r="G98" s="170"/>
      <c r="H98" s="171"/>
      <c r="I98" s="452"/>
      <c r="J98" s="454">
        <f t="shared" si="30"/>
        <v>0</v>
      </c>
      <c r="K98" s="392" t="s">
        <v>1029</v>
      </c>
      <c r="L98" s="152"/>
      <c r="M98" s="152"/>
      <c r="N98" s="402">
        <f t="shared" si="36"/>
        <v>0</v>
      </c>
      <c r="O98" s="402">
        <f t="shared" si="32"/>
        <v>0</v>
      </c>
      <c r="P98" s="403"/>
      <c r="Q98" s="152">
        <f t="shared" si="33"/>
        <v>0</v>
      </c>
      <c r="R98" s="152">
        <f t="shared" si="33"/>
        <v>0</v>
      </c>
      <c r="S98" s="402">
        <f t="shared" si="34"/>
        <v>0</v>
      </c>
      <c r="T98" s="404">
        <f t="shared" si="35"/>
        <v>0</v>
      </c>
      <c r="U98" s="403"/>
      <c r="W98" s="43" t="str">
        <f t="shared" si="29"/>
        <v/>
      </c>
      <c r="X98" s="43" t="str">
        <f t="shared" si="27"/>
        <v/>
      </c>
      <c r="Y98" s="43" t="str">
        <f t="shared" si="28"/>
        <v/>
      </c>
    </row>
    <row r="99" spans="1:25" ht="13.5" hidden="1" thickBot="1">
      <c r="A99" s="397" t="s">
        <v>217</v>
      </c>
      <c r="B99" s="165" t="s">
        <v>217</v>
      </c>
      <c r="C99" s="166"/>
      <c r="D99" s="167"/>
      <c r="E99" s="168"/>
      <c r="F99" s="169"/>
      <c r="G99" s="170"/>
      <c r="H99" s="171"/>
      <c r="I99" s="452"/>
      <c r="J99" s="454">
        <f t="shared" si="30"/>
        <v>0</v>
      </c>
      <c r="K99" s="392" t="s">
        <v>1029</v>
      </c>
      <c r="L99" s="152"/>
      <c r="M99" s="152"/>
      <c r="N99" s="402">
        <f t="shared" si="36"/>
        <v>0</v>
      </c>
      <c r="O99" s="402">
        <f t="shared" si="32"/>
        <v>0</v>
      </c>
      <c r="P99" s="403"/>
      <c r="Q99" s="152">
        <f t="shared" si="33"/>
        <v>0</v>
      </c>
      <c r="R99" s="152">
        <f t="shared" si="33"/>
        <v>0</v>
      </c>
      <c r="S99" s="402">
        <f t="shared" si="34"/>
        <v>0</v>
      </c>
      <c r="T99" s="404">
        <f t="shared" si="35"/>
        <v>0</v>
      </c>
      <c r="U99" s="403"/>
      <c r="W99" s="43" t="str">
        <f t="shared" si="29"/>
        <v/>
      </c>
      <c r="X99" s="43" t="str">
        <f t="shared" si="27"/>
        <v/>
      </c>
      <c r="Y99" s="43" t="str">
        <f t="shared" si="28"/>
        <v/>
      </c>
    </row>
    <row r="100" spans="1:25" ht="13.5" hidden="1" thickBot="1">
      <c r="A100" s="397" t="s">
        <v>217</v>
      </c>
      <c r="B100" s="165" t="s">
        <v>217</v>
      </c>
      <c r="C100" s="166"/>
      <c r="D100" s="167"/>
      <c r="E100" s="168"/>
      <c r="F100" s="169"/>
      <c r="G100" s="170"/>
      <c r="H100" s="171"/>
      <c r="I100" s="452"/>
      <c r="J100" s="454">
        <f t="shared" si="30"/>
        <v>0</v>
      </c>
      <c r="K100" s="392" t="s">
        <v>1029</v>
      </c>
      <c r="L100" s="152"/>
      <c r="M100" s="152"/>
      <c r="N100" s="402">
        <f t="shared" si="36"/>
        <v>0</v>
      </c>
      <c r="O100" s="402">
        <f t="shared" si="32"/>
        <v>0</v>
      </c>
      <c r="P100" s="403"/>
      <c r="Q100" s="152">
        <f t="shared" si="33"/>
        <v>0</v>
      </c>
      <c r="R100" s="152">
        <f t="shared" si="33"/>
        <v>0</v>
      </c>
      <c r="S100" s="402">
        <f t="shared" si="34"/>
        <v>0</v>
      </c>
      <c r="T100" s="404">
        <f t="shared" si="35"/>
        <v>0</v>
      </c>
      <c r="U100" s="403"/>
      <c r="W100" s="43" t="str">
        <f t="shared" si="29"/>
        <v/>
      </c>
      <c r="X100" s="43" t="str">
        <f t="shared" si="27"/>
        <v/>
      </c>
      <c r="Y100" s="43" t="str">
        <f t="shared" si="28"/>
        <v/>
      </c>
    </row>
    <row r="101" spans="1:25" ht="13.5" hidden="1" thickBot="1">
      <c r="A101" s="397" t="s">
        <v>217</v>
      </c>
      <c r="B101" s="165" t="s">
        <v>217</v>
      </c>
      <c r="C101" s="166"/>
      <c r="D101" s="167"/>
      <c r="E101" s="168"/>
      <c r="F101" s="169"/>
      <c r="G101" s="170"/>
      <c r="H101" s="171"/>
      <c r="I101" s="452"/>
      <c r="J101" s="454">
        <f t="shared" si="30"/>
        <v>0</v>
      </c>
      <c r="K101" s="392" t="s">
        <v>1029</v>
      </c>
      <c r="L101" s="152"/>
      <c r="M101" s="152"/>
      <c r="N101" s="402">
        <f t="shared" si="36"/>
        <v>0</v>
      </c>
      <c r="O101" s="402">
        <f t="shared" si="32"/>
        <v>0</v>
      </c>
      <c r="P101" s="403"/>
      <c r="Q101" s="152">
        <f t="shared" si="33"/>
        <v>0</v>
      </c>
      <c r="R101" s="152">
        <f t="shared" si="33"/>
        <v>0</v>
      </c>
      <c r="S101" s="402">
        <f t="shared" si="34"/>
        <v>0</v>
      </c>
      <c r="T101" s="404">
        <f t="shared" si="35"/>
        <v>0</v>
      </c>
      <c r="U101" s="403"/>
      <c r="W101" s="43" t="str">
        <f t="shared" si="29"/>
        <v/>
      </c>
      <c r="X101" s="43" t="str">
        <f t="shared" si="27"/>
        <v/>
      </c>
      <c r="Y101" s="43" t="str">
        <f t="shared" si="28"/>
        <v/>
      </c>
    </row>
    <row r="102" spans="1:25" ht="13.5" hidden="1" thickBot="1">
      <c r="A102" s="397" t="s">
        <v>217</v>
      </c>
      <c r="B102" s="165" t="s">
        <v>217</v>
      </c>
      <c r="C102" s="166"/>
      <c r="D102" s="167"/>
      <c r="E102" s="168"/>
      <c r="F102" s="169"/>
      <c r="G102" s="170"/>
      <c r="H102" s="171"/>
      <c r="I102" s="452"/>
      <c r="J102" s="454">
        <f t="shared" si="30"/>
        <v>0</v>
      </c>
      <c r="K102" s="392" t="s">
        <v>1029</v>
      </c>
      <c r="L102" s="152"/>
      <c r="M102" s="152"/>
      <c r="N102" s="402">
        <f t="shared" si="36"/>
        <v>0</v>
      </c>
      <c r="O102" s="402">
        <f t="shared" si="32"/>
        <v>0</v>
      </c>
      <c r="P102" s="403"/>
      <c r="Q102" s="152">
        <f t="shared" si="33"/>
        <v>0</v>
      </c>
      <c r="R102" s="152">
        <f t="shared" si="33"/>
        <v>0</v>
      </c>
      <c r="S102" s="402">
        <f t="shared" si="34"/>
        <v>0</v>
      </c>
      <c r="T102" s="404">
        <f t="shared" si="35"/>
        <v>0</v>
      </c>
      <c r="U102" s="403"/>
      <c r="W102" s="43" t="str">
        <f t="shared" si="29"/>
        <v/>
      </c>
      <c r="X102" s="43" t="str">
        <f t="shared" si="27"/>
        <v/>
      </c>
      <c r="Y102" s="43" t="str">
        <f t="shared" si="28"/>
        <v/>
      </c>
    </row>
    <row r="103" spans="1:25" ht="13.5" hidden="1" thickBot="1">
      <c r="A103" s="397" t="s">
        <v>217</v>
      </c>
      <c r="B103" s="165" t="s">
        <v>217</v>
      </c>
      <c r="C103" s="166"/>
      <c r="D103" s="167"/>
      <c r="E103" s="168"/>
      <c r="F103" s="169"/>
      <c r="G103" s="170"/>
      <c r="H103" s="171"/>
      <c r="I103" s="452"/>
      <c r="J103" s="454">
        <f t="shared" si="30"/>
        <v>0</v>
      </c>
      <c r="K103" s="392" t="s">
        <v>1029</v>
      </c>
      <c r="L103" s="152"/>
      <c r="M103" s="152"/>
      <c r="N103" s="402">
        <f t="shared" si="36"/>
        <v>0</v>
      </c>
      <c r="O103" s="402">
        <f t="shared" si="32"/>
        <v>0</v>
      </c>
      <c r="P103" s="403"/>
      <c r="Q103" s="152">
        <f t="shared" si="33"/>
        <v>0</v>
      </c>
      <c r="R103" s="152">
        <f t="shared" si="33"/>
        <v>0</v>
      </c>
      <c r="S103" s="402">
        <f t="shared" si="34"/>
        <v>0</v>
      </c>
      <c r="T103" s="404">
        <f t="shared" si="35"/>
        <v>0</v>
      </c>
      <c r="U103" s="403"/>
      <c r="W103" s="43" t="str">
        <f t="shared" si="29"/>
        <v/>
      </c>
      <c r="X103" s="43" t="str">
        <f t="shared" si="27"/>
        <v/>
      </c>
      <c r="Y103" s="43" t="str">
        <f t="shared" si="28"/>
        <v/>
      </c>
    </row>
    <row r="104" spans="1:25" ht="13.5" hidden="1" thickBot="1">
      <c r="A104" s="397" t="s">
        <v>217</v>
      </c>
      <c r="B104" s="165" t="s">
        <v>217</v>
      </c>
      <c r="C104" s="166"/>
      <c r="D104" s="167"/>
      <c r="E104" s="168"/>
      <c r="F104" s="169"/>
      <c r="G104" s="170"/>
      <c r="H104" s="171"/>
      <c r="I104" s="452"/>
      <c r="J104" s="454">
        <f t="shared" si="30"/>
        <v>0</v>
      </c>
      <c r="K104" s="392" t="s">
        <v>1029</v>
      </c>
      <c r="L104" s="152"/>
      <c r="M104" s="152"/>
      <c r="N104" s="402">
        <f t="shared" si="36"/>
        <v>0</v>
      </c>
      <c r="O104" s="402">
        <f t="shared" si="32"/>
        <v>0</v>
      </c>
      <c r="P104" s="403"/>
      <c r="Q104" s="152">
        <f t="shared" si="33"/>
        <v>0</v>
      </c>
      <c r="R104" s="152">
        <f t="shared" si="33"/>
        <v>0</v>
      </c>
      <c r="S104" s="402">
        <f t="shared" si="34"/>
        <v>0</v>
      </c>
      <c r="T104" s="404">
        <f t="shared" si="35"/>
        <v>0</v>
      </c>
      <c r="U104" s="403"/>
      <c r="W104" s="43" t="str">
        <f t="shared" si="29"/>
        <v/>
      </c>
      <c r="X104" s="43" t="str">
        <f t="shared" si="27"/>
        <v/>
      </c>
      <c r="Y104" s="43" t="str">
        <f t="shared" si="28"/>
        <v/>
      </c>
    </row>
    <row r="105" spans="1:25" ht="13.5" hidden="1" thickBot="1">
      <c r="A105" s="397" t="s">
        <v>217</v>
      </c>
      <c r="B105" s="165" t="s">
        <v>217</v>
      </c>
      <c r="C105" s="166"/>
      <c r="D105" s="167"/>
      <c r="E105" s="168"/>
      <c r="F105" s="169"/>
      <c r="G105" s="170"/>
      <c r="H105" s="171"/>
      <c r="I105" s="452"/>
      <c r="J105" s="454">
        <f t="shared" si="30"/>
        <v>0</v>
      </c>
      <c r="K105" s="392" t="s">
        <v>1029</v>
      </c>
      <c r="L105" s="152"/>
      <c r="M105" s="152"/>
      <c r="N105" s="402">
        <f t="shared" si="36"/>
        <v>0</v>
      </c>
      <c r="O105" s="402">
        <f t="shared" si="32"/>
        <v>0</v>
      </c>
      <c r="P105" s="403"/>
      <c r="Q105" s="152">
        <f t="shared" si="33"/>
        <v>0</v>
      </c>
      <c r="R105" s="152">
        <f t="shared" si="33"/>
        <v>0</v>
      </c>
      <c r="S105" s="402">
        <f t="shared" si="34"/>
        <v>0</v>
      </c>
      <c r="T105" s="404">
        <f t="shared" si="35"/>
        <v>0</v>
      </c>
      <c r="U105" s="403"/>
      <c r="W105" s="43" t="str">
        <f t="shared" si="29"/>
        <v/>
      </c>
      <c r="X105" s="43" t="str">
        <f t="shared" si="27"/>
        <v/>
      </c>
      <c r="Y105" s="43" t="str">
        <f t="shared" si="28"/>
        <v/>
      </c>
    </row>
    <row r="106" spans="1:25" ht="13.5" hidden="1" thickBot="1">
      <c r="A106" s="397" t="s">
        <v>217</v>
      </c>
      <c r="B106" s="165" t="s">
        <v>217</v>
      </c>
      <c r="C106" s="166"/>
      <c r="D106" s="167"/>
      <c r="E106" s="168"/>
      <c r="F106" s="169"/>
      <c r="G106" s="170"/>
      <c r="H106" s="171"/>
      <c r="I106" s="452"/>
      <c r="J106" s="454">
        <f t="shared" si="30"/>
        <v>0</v>
      </c>
      <c r="K106" s="392" t="s">
        <v>1029</v>
      </c>
      <c r="L106" s="152"/>
      <c r="M106" s="152"/>
      <c r="N106" s="402">
        <f t="shared" si="36"/>
        <v>0</v>
      </c>
      <c r="O106" s="402">
        <f t="shared" si="32"/>
        <v>0</v>
      </c>
      <c r="P106" s="403"/>
      <c r="Q106" s="152">
        <f t="shared" si="33"/>
        <v>0</v>
      </c>
      <c r="R106" s="152">
        <f t="shared" si="33"/>
        <v>0</v>
      </c>
      <c r="S106" s="402">
        <f t="shared" si="34"/>
        <v>0</v>
      </c>
      <c r="T106" s="404">
        <f t="shared" si="35"/>
        <v>0</v>
      </c>
      <c r="U106" s="403"/>
      <c r="W106" s="43" t="str">
        <f t="shared" si="29"/>
        <v/>
      </c>
      <c r="X106" s="43" t="str">
        <f t="shared" si="27"/>
        <v/>
      </c>
      <c r="Y106" s="43" t="str">
        <f t="shared" si="28"/>
        <v/>
      </c>
    </row>
    <row r="107" spans="1:25" ht="13.5" hidden="1" thickBot="1">
      <c r="A107" s="397" t="s">
        <v>217</v>
      </c>
      <c r="B107" s="165" t="s">
        <v>217</v>
      </c>
      <c r="C107" s="166"/>
      <c r="D107" s="167"/>
      <c r="E107" s="168"/>
      <c r="F107" s="169"/>
      <c r="G107" s="170"/>
      <c r="H107" s="171"/>
      <c r="I107" s="452"/>
      <c r="J107" s="454">
        <f t="shared" si="30"/>
        <v>0</v>
      </c>
      <c r="K107" s="392" t="s">
        <v>1029</v>
      </c>
      <c r="L107" s="152"/>
      <c r="M107" s="152"/>
      <c r="N107" s="402">
        <f t="shared" si="36"/>
        <v>0</v>
      </c>
      <c r="O107" s="402">
        <f t="shared" si="32"/>
        <v>0</v>
      </c>
      <c r="P107" s="403"/>
      <c r="Q107" s="152">
        <f t="shared" si="33"/>
        <v>0</v>
      </c>
      <c r="R107" s="152">
        <f t="shared" si="33"/>
        <v>0</v>
      </c>
      <c r="S107" s="402">
        <f t="shared" si="34"/>
        <v>0</v>
      </c>
      <c r="T107" s="404">
        <f t="shared" si="35"/>
        <v>0</v>
      </c>
      <c r="U107" s="403"/>
      <c r="W107" s="43" t="str">
        <f t="shared" si="29"/>
        <v/>
      </c>
      <c r="X107" s="43" t="str">
        <f t="shared" si="27"/>
        <v/>
      </c>
      <c r="Y107" s="43" t="str">
        <f t="shared" si="28"/>
        <v/>
      </c>
    </row>
    <row r="108" spans="1:25" ht="13.5" hidden="1" thickBot="1">
      <c r="A108" s="397" t="s">
        <v>217</v>
      </c>
      <c r="B108" s="165" t="s">
        <v>217</v>
      </c>
      <c r="C108" s="166"/>
      <c r="D108" s="167"/>
      <c r="E108" s="168"/>
      <c r="F108" s="169"/>
      <c r="G108" s="170"/>
      <c r="H108" s="171"/>
      <c r="I108" s="452"/>
      <c r="J108" s="454">
        <f t="shared" si="30"/>
        <v>0</v>
      </c>
      <c r="K108" s="392" t="s">
        <v>1029</v>
      </c>
      <c r="L108" s="152"/>
      <c r="M108" s="152"/>
      <c r="N108" s="402">
        <f t="shared" si="36"/>
        <v>0</v>
      </c>
      <c r="O108" s="402">
        <f t="shared" si="32"/>
        <v>0</v>
      </c>
      <c r="P108" s="403"/>
      <c r="Q108" s="152">
        <f t="shared" si="33"/>
        <v>0</v>
      </c>
      <c r="R108" s="152">
        <f t="shared" si="33"/>
        <v>0</v>
      </c>
      <c r="S108" s="402">
        <f t="shared" si="34"/>
        <v>0</v>
      </c>
      <c r="T108" s="404">
        <f t="shared" si="35"/>
        <v>0</v>
      </c>
      <c r="U108" s="403"/>
      <c r="W108" s="43" t="str">
        <f t="shared" si="29"/>
        <v/>
      </c>
      <c r="X108" s="43" t="str">
        <f t="shared" si="27"/>
        <v/>
      </c>
      <c r="Y108" s="43" t="str">
        <f t="shared" si="28"/>
        <v/>
      </c>
    </row>
    <row r="109" spans="1:25" ht="13.5" hidden="1" thickBot="1">
      <c r="A109" s="397" t="s">
        <v>217</v>
      </c>
      <c r="B109" s="165" t="s">
        <v>217</v>
      </c>
      <c r="C109" s="166"/>
      <c r="D109" s="167"/>
      <c r="E109" s="168"/>
      <c r="F109" s="169"/>
      <c r="G109" s="170"/>
      <c r="H109" s="171"/>
      <c r="I109" s="452"/>
      <c r="J109" s="454">
        <f t="shared" si="30"/>
        <v>0</v>
      </c>
      <c r="K109" s="392" t="s">
        <v>1029</v>
      </c>
      <c r="L109" s="152"/>
      <c r="M109" s="152"/>
      <c r="N109" s="402">
        <f t="shared" si="36"/>
        <v>0</v>
      </c>
      <c r="O109" s="402">
        <f t="shared" si="32"/>
        <v>0</v>
      </c>
      <c r="P109" s="403"/>
      <c r="Q109" s="152">
        <f t="shared" si="33"/>
        <v>0</v>
      </c>
      <c r="R109" s="152">
        <f t="shared" si="33"/>
        <v>0</v>
      </c>
      <c r="S109" s="402">
        <f t="shared" si="34"/>
        <v>0</v>
      </c>
      <c r="T109" s="404">
        <f t="shared" si="35"/>
        <v>0</v>
      </c>
      <c r="U109" s="403"/>
      <c r="W109" s="43" t="str">
        <f t="shared" si="29"/>
        <v/>
      </c>
      <c r="X109" s="43" t="str">
        <f t="shared" si="27"/>
        <v/>
      </c>
      <c r="Y109" s="43" t="str">
        <f t="shared" si="28"/>
        <v/>
      </c>
    </row>
    <row r="110" spans="1:25" ht="13.5" hidden="1" thickBot="1">
      <c r="A110" s="397" t="s">
        <v>217</v>
      </c>
      <c r="B110" s="165" t="s">
        <v>217</v>
      </c>
      <c r="C110" s="166"/>
      <c r="D110" s="167"/>
      <c r="E110" s="168"/>
      <c r="F110" s="169"/>
      <c r="G110" s="170"/>
      <c r="H110" s="171"/>
      <c r="I110" s="452"/>
      <c r="J110" s="454">
        <f t="shared" si="30"/>
        <v>0</v>
      </c>
      <c r="K110" s="392" t="s">
        <v>1029</v>
      </c>
      <c r="L110" s="152"/>
      <c r="M110" s="152"/>
      <c r="N110" s="402">
        <f t="shared" si="36"/>
        <v>0</v>
      </c>
      <c r="O110" s="402">
        <f t="shared" si="32"/>
        <v>0</v>
      </c>
      <c r="P110" s="403"/>
      <c r="Q110" s="152">
        <f t="shared" si="33"/>
        <v>0</v>
      </c>
      <c r="R110" s="152">
        <f t="shared" si="33"/>
        <v>0</v>
      </c>
      <c r="S110" s="402">
        <f t="shared" si="34"/>
        <v>0</v>
      </c>
      <c r="T110" s="404">
        <f t="shared" si="35"/>
        <v>0</v>
      </c>
      <c r="U110" s="403"/>
      <c r="W110" s="43" t="str">
        <f t="shared" si="29"/>
        <v/>
      </c>
      <c r="X110" s="43" t="str">
        <f t="shared" si="27"/>
        <v/>
      </c>
      <c r="Y110" s="43" t="str">
        <f t="shared" si="28"/>
        <v/>
      </c>
    </row>
    <row r="111" spans="1:25" ht="13.5" hidden="1" thickBot="1">
      <c r="A111" s="397" t="s">
        <v>217</v>
      </c>
      <c r="B111" s="165" t="s">
        <v>217</v>
      </c>
      <c r="C111" s="166"/>
      <c r="D111" s="167"/>
      <c r="E111" s="168"/>
      <c r="F111" s="169"/>
      <c r="G111" s="170"/>
      <c r="H111" s="171"/>
      <c r="I111" s="452"/>
      <c r="J111" s="454">
        <f t="shared" si="30"/>
        <v>0</v>
      </c>
      <c r="K111" s="392" t="s">
        <v>1029</v>
      </c>
      <c r="L111" s="152"/>
      <c r="M111" s="152"/>
      <c r="N111" s="402">
        <f t="shared" si="36"/>
        <v>0</v>
      </c>
      <c r="O111" s="402">
        <f t="shared" si="32"/>
        <v>0</v>
      </c>
      <c r="P111" s="403"/>
      <c r="Q111" s="152">
        <f t="shared" si="33"/>
        <v>0</v>
      </c>
      <c r="R111" s="152">
        <f t="shared" si="33"/>
        <v>0</v>
      </c>
      <c r="S111" s="402">
        <f t="shared" si="34"/>
        <v>0</v>
      </c>
      <c r="T111" s="404">
        <f t="shared" si="35"/>
        <v>0</v>
      </c>
      <c r="U111" s="403"/>
      <c r="W111" s="43" t="str">
        <f t="shared" si="29"/>
        <v/>
      </c>
      <c r="X111" s="43" t="str">
        <f t="shared" si="27"/>
        <v/>
      </c>
      <c r="Y111" s="43" t="str">
        <f t="shared" si="28"/>
        <v/>
      </c>
    </row>
    <row r="112" spans="1:25" ht="13.5" hidden="1" thickBot="1">
      <c r="A112" s="398" t="s">
        <v>217</v>
      </c>
      <c r="B112" s="172" t="s">
        <v>217</v>
      </c>
      <c r="C112" s="173"/>
      <c r="D112" s="174"/>
      <c r="E112" s="175"/>
      <c r="F112" s="176"/>
      <c r="G112" s="177"/>
      <c r="H112" s="178"/>
      <c r="I112" s="455"/>
      <c r="J112" s="456">
        <f t="shared" si="30"/>
        <v>0</v>
      </c>
      <c r="K112" s="393" t="s">
        <v>1029</v>
      </c>
      <c r="L112" s="152"/>
      <c r="M112" s="152"/>
      <c r="N112" s="163">
        <f t="shared" si="36"/>
        <v>0</v>
      </c>
      <c r="O112" s="163">
        <f t="shared" si="32"/>
        <v>0</v>
      </c>
      <c r="P112" s="403"/>
      <c r="Q112" s="152">
        <f t="shared" si="33"/>
        <v>0</v>
      </c>
      <c r="R112" s="152">
        <f t="shared" si="33"/>
        <v>0</v>
      </c>
      <c r="S112" s="163">
        <f t="shared" si="34"/>
        <v>0</v>
      </c>
      <c r="T112" s="179">
        <f t="shared" si="35"/>
        <v>0</v>
      </c>
      <c r="U112" s="403"/>
      <c r="W112" s="43" t="str">
        <f t="shared" si="29"/>
        <v/>
      </c>
      <c r="X112" s="43" t="str">
        <f t="shared" si="27"/>
        <v/>
      </c>
      <c r="Y112" s="43" t="str">
        <f t="shared" si="28"/>
        <v/>
      </c>
    </row>
    <row r="113" spans="1:25" ht="13.5" thickBot="1">
      <c r="A113" s="180" t="s">
        <v>244</v>
      </c>
      <c r="B113" s="181"/>
      <c r="C113" s="346" t="s">
        <v>601</v>
      </c>
      <c r="D113" s="137"/>
      <c r="E113" s="138"/>
      <c r="F113" s="139"/>
      <c r="G113" s="140"/>
      <c r="H113" s="141"/>
      <c r="I113" s="141"/>
      <c r="J113" s="141"/>
      <c r="K113" s="141" t="s">
        <v>1029</v>
      </c>
      <c r="L113" s="140"/>
      <c r="M113" s="141"/>
      <c r="N113" s="141"/>
      <c r="O113" s="142"/>
      <c r="P113" s="143">
        <f>SUM(O114:O215)</f>
        <v>15686.78</v>
      </c>
      <c r="Q113" s="140"/>
      <c r="R113" s="141"/>
      <c r="S113" s="141"/>
      <c r="T113" s="142"/>
      <c r="U113" s="143">
        <f>SUM(T114:T215)</f>
        <v>15686.78</v>
      </c>
      <c r="V113" s="144" t="str">
        <f>IF(OR(P113&gt;0,U113&gt;0),"X","")</f>
        <v>X</v>
      </c>
      <c r="W113" s="43" t="str">
        <f t="shared" si="29"/>
        <v>x</v>
      </c>
      <c r="X113" s="43" t="str">
        <f t="shared" si="27"/>
        <v>x</v>
      </c>
      <c r="Y113" s="43" t="str">
        <f t="shared" si="28"/>
        <v>x</v>
      </c>
    </row>
    <row r="114" spans="1:25" hidden="1">
      <c r="A114" s="155">
        <v>411000</v>
      </c>
      <c r="B114" s="156" t="s">
        <v>242</v>
      </c>
      <c r="C114" s="411" t="s">
        <v>380</v>
      </c>
      <c r="D114" s="351">
        <v>1</v>
      </c>
      <c r="E114" s="182">
        <v>1</v>
      </c>
      <c r="F114" s="161"/>
      <c r="G114" s="158"/>
      <c r="H114" s="457">
        <v>10.767999999999999</v>
      </c>
      <c r="I114" s="465">
        <f>IF(ISBLANK(H114),"",SUM(G114:H114))</f>
        <v>10.767999999999999</v>
      </c>
      <c r="J114" s="407">
        <f t="shared" ref="J114:J131" si="37">IF(ISBLANK(H114),0,ROUND(I114*(1+$E$10)*(1+$E$11*D114),2))</f>
        <v>13.65</v>
      </c>
      <c r="K114" s="408" t="s">
        <v>16</v>
      </c>
      <c r="L114" s="152"/>
      <c r="M114" s="152"/>
      <c r="N114" s="402">
        <f t="shared" ref="N114:N177" si="38">IF(ISBLANK(L114),0,ROUND(J114*L114,2))</f>
        <v>0</v>
      </c>
      <c r="O114" s="402">
        <f t="shared" ref="O114:O177" si="39">IF(ISBLANK(M114),0,ROUND(L114*M114,2))</f>
        <v>0</v>
      </c>
      <c r="P114" s="403"/>
      <c r="Q114" s="152">
        <f t="shared" ref="Q114:R130" si="40">L114</f>
        <v>0</v>
      </c>
      <c r="R114" s="152">
        <f t="shared" si="40"/>
        <v>0</v>
      </c>
      <c r="S114" s="402">
        <f t="shared" ref="S114:S177" si="41">IF(ISBLANK(Q114),0,ROUND(J114*Q114,2))</f>
        <v>0</v>
      </c>
      <c r="T114" s="404">
        <f t="shared" ref="T114:T177" si="42">IF(ISBLANK(Q114),0,ROUND(Q114*R114,2))</f>
        <v>0</v>
      </c>
      <c r="U114" s="403"/>
      <c r="W114" s="43" t="str">
        <f t="shared" si="29"/>
        <v/>
      </c>
      <c r="X114" s="43" t="str">
        <f t="shared" si="27"/>
        <v/>
      </c>
      <c r="Y114" s="43" t="str">
        <f t="shared" si="28"/>
        <v/>
      </c>
    </row>
    <row r="115" spans="1:25" hidden="1">
      <c r="A115" s="155">
        <v>520100</v>
      </c>
      <c r="B115" s="156" t="s">
        <v>242</v>
      </c>
      <c r="C115" s="411" t="s">
        <v>381</v>
      </c>
      <c r="D115" s="351">
        <v>1</v>
      </c>
      <c r="E115" s="182">
        <v>15</v>
      </c>
      <c r="F115" s="161">
        <v>1.875</v>
      </c>
      <c r="G115" s="412">
        <f t="shared" ref="G115:G120" si="43">IF(E115&lt;=30,(0.6*E115+1.25)*F115,((0.6*30+1.25)+0.5*(E115-30))*F115)</f>
        <v>19.21875</v>
      </c>
      <c r="H115" s="457">
        <v>9.4379999999999988</v>
      </c>
      <c r="I115" s="465">
        <f>IF(ISBLANK(H115),"",SUM(G115:H115))</f>
        <v>28.656749999999999</v>
      </c>
      <c r="J115" s="407">
        <f t="shared" si="37"/>
        <v>36.340000000000003</v>
      </c>
      <c r="K115" s="408" t="s">
        <v>16</v>
      </c>
      <c r="L115" s="152"/>
      <c r="M115" s="152"/>
      <c r="N115" s="402">
        <f t="shared" si="38"/>
        <v>0</v>
      </c>
      <c r="O115" s="402">
        <f t="shared" si="39"/>
        <v>0</v>
      </c>
      <c r="P115" s="403"/>
      <c r="Q115" s="152">
        <f t="shared" si="40"/>
        <v>0</v>
      </c>
      <c r="R115" s="152">
        <f t="shared" si="40"/>
        <v>0</v>
      </c>
      <c r="S115" s="402">
        <f t="shared" si="41"/>
        <v>0</v>
      </c>
      <c r="T115" s="404">
        <f t="shared" si="42"/>
        <v>0</v>
      </c>
      <c r="U115" s="403"/>
      <c r="W115" s="43" t="str">
        <f t="shared" si="29"/>
        <v/>
      </c>
      <c r="X115" s="43" t="str">
        <f t="shared" si="27"/>
        <v/>
      </c>
      <c r="Y115" s="43" t="str">
        <f t="shared" si="28"/>
        <v/>
      </c>
    </row>
    <row r="116" spans="1:25" hidden="1">
      <c r="A116" s="155">
        <v>532100</v>
      </c>
      <c r="B116" s="156" t="s">
        <v>242</v>
      </c>
      <c r="C116" s="411" t="s">
        <v>239</v>
      </c>
      <c r="D116" s="351"/>
      <c r="E116" s="182">
        <v>20</v>
      </c>
      <c r="F116" s="406">
        <v>2.1</v>
      </c>
      <c r="G116" s="412">
        <f t="shared" si="43"/>
        <v>27.825000000000003</v>
      </c>
      <c r="H116" s="465">
        <v>62.99</v>
      </c>
      <c r="I116" s="465">
        <f>IF(ISBLANK(H116),"",SUM(G116:H116))</f>
        <v>90.814999999999998</v>
      </c>
      <c r="J116" s="407">
        <f t="shared" si="37"/>
        <v>115.15</v>
      </c>
      <c r="K116" s="408" t="s">
        <v>16</v>
      </c>
      <c r="L116" s="152"/>
      <c r="M116" s="152"/>
      <c r="N116" s="402">
        <f t="shared" si="38"/>
        <v>0</v>
      </c>
      <c r="O116" s="402">
        <f t="shared" si="39"/>
        <v>0</v>
      </c>
      <c r="P116" s="403"/>
      <c r="Q116" s="152">
        <f t="shared" si="40"/>
        <v>0</v>
      </c>
      <c r="R116" s="152">
        <f t="shared" si="40"/>
        <v>0</v>
      </c>
      <c r="S116" s="402">
        <f t="shared" si="41"/>
        <v>0</v>
      </c>
      <c r="T116" s="404">
        <f t="shared" si="42"/>
        <v>0</v>
      </c>
      <c r="U116" s="403"/>
      <c r="W116" s="43" t="str">
        <f t="shared" si="29"/>
        <v/>
      </c>
      <c r="X116" s="43" t="str">
        <f t="shared" si="27"/>
        <v/>
      </c>
      <c r="Y116" s="43" t="str">
        <f t="shared" si="28"/>
        <v/>
      </c>
    </row>
    <row r="117" spans="1:25" hidden="1">
      <c r="A117" s="409">
        <v>452010</v>
      </c>
      <c r="B117" s="183" t="s">
        <v>242</v>
      </c>
      <c r="C117" s="411" t="s">
        <v>249</v>
      </c>
      <c r="D117" s="351"/>
      <c r="E117" s="182">
        <v>15</v>
      </c>
      <c r="F117" s="161">
        <v>1.5</v>
      </c>
      <c r="G117" s="412">
        <f t="shared" si="43"/>
        <v>15.375</v>
      </c>
      <c r="H117" s="465">
        <v>8.91</v>
      </c>
      <c r="I117" s="465">
        <f>IF(ISBLANK(H117),"",SUM(G117:H117))</f>
        <v>24.285</v>
      </c>
      <c r="J117" s="407">
        <f t="shared" si="37"/>
        <v>30.79</v>
      </c>
      <c r="K117" s="408" t="s">
        <v>16</v>
      </c>
      <c r="L117" s="152"/>
      <c r="M117" s="152"/>
      <c r="N117" s="402">
        <f t="shared" si="38"/>
        <v>0</v>
      </c>
      <c r="O117" s="402">
        <f t="shared" si="39"/>
        <v>0</v>
      </c>
      <c r="P117" s="403"/>
      <c r="Q117" s="152">
        <f t="shared" si="40"/>
        <v>0</v>
      </c>
      <c r="R117" s="152">
        <f t="shared" si="40"/>
        <v>0</v>
      </c>
      <c r="S117" s="402">
        <f t="shared" si="41"/>
        <v>0</v>
      </c>
      <c r="T117" s="404">
        <f t="shared" si="42"/>
        <v>0</v>
      </c>
      <c r="U117" s="403"/>
      <c r="W117" s="43" t="str">
        <f t="shared" si="29"/>
        <v/>
      </c>
      <c r="X117" s="43" t="str">
        <f t="shared" si="27"/>
        <v/>
      </c>
      <c r="Y117" s="43" t="str">
        <f t="shared" si="28"/>
        <v/>
      </c>
    </row>
    <row r="118" spans="1:25" hidden="1">
      <c r="A118" s="155">
        <v>532500</v>
      </c>
      <c r="B118" s="156" t="s">
        <v>242</v>
      </c>
      <c r="C118" s="411" t="s">
        <v>245</v>
      </c>
      <c r="D118" s="351"/>
      <c r="E118" s="182">
        <v>20</v>
      </c>
      <c r="F118" s="406">
        <v>1.73</v>
      </c>
      <c r="G118" s="412">
        <f t="shared" si="43"/>
        <v>22.922499999999999</v>
      </c>
      <c r="H118" s="465">
        <v>63.64</v>
      </c>
      <c r="I118" s="465">
        <f>IF(ISBLANK(H118),"",SUM(G118:H118))*0.95</f>
        <v>82.234375</v>
      </c>
      <c r="J118" s="407">
        <f t="shared" si="37"/>
        <v>104.27</v>
      </c>
      <c r="K118" s="408" t="s">
        <v>16</v>
      </c>
      <c r="L118" s="152"/>
      <c r="M118" s="152"/>
      <c r="N118" s="402">
        <f t="shared" si="38"/>
        <v>0</v>
      </c>
      <c r="O118" s="402">
        <f t="shared" si="39"/>
        <v>0</v>
      </c>
      <c r="P118" s="403"/>
      <c r="Q118" s="152">
        <f t="shared" si="40"/>
        <v>0</v>
      </c>
      <c r="R118" s="152">
        <f t="shared" si="40"/>
        <v>0</v>
      </c>
      <c r="S118" s="402">
        <f t="shared" si="41"/>
        <v>0</v>
      </c>
      <c r="T118" s="404">
        <f t="shared" si="42"/>
        <v>0</v>
      </c>
      <c r="U118" s="403"/>
      <c r="W118" s="43" t="str">
        <f t="shared" si="29"/>
        <v/>
      </c>
      <c r="X118" s="43" t="str">
        <f t="shared" si="27"/>
        <v/>
      </c>
      <c r="Y118" s="43" t="str">
        <f t="shared" si="28"/>
        <v/>
      </c>
    </row>
    <row r="119" spans="1:25" hidden="1">
      <c r="A119" s="155">
        <v>532600</v>
      </c>
      <c r="B119" s="156" t="s">
        <v>242</v>
      </c>
      <c r="C119" s="411" t="s">
        <v>365</v>
      </c>
      <c r="D119" s="351"/>
      <c r="E119" s="182">
        <v>20</v>
      </c>
      <c r="F119" s="406">
        <v>1.5</v>
      </c>
      <c r="G119" s="412">
        <f t="shared" si="43"/>
        <v>19.875</v>
      </c>
      <c r="H119" s="465">
        <v>12.133333333333333</v>
      </c>
      <c r="I119" s="465">
        <f>IF(ISBLANK(H119),"",SUM(G119:H119))</f>
        <v>32.008333333333333</v>
      </c>
      <c r="J119" s="407">
        <f t="shared" si="37"/>
        <v>40.590000000000003</v>
      </c>
      <c r="K119" s="408" t="s">
        <v>16</v>
      </c>
      <c r="L119" s="152"/>
      <c r="M119" s="152"/>
      <c r="N119" s="402">
        <f t="shared" si="38"/>
        <v>0</v>
      </c>
      <c r="O119" s="402">
        <f t="shared" si="39"/>
        <v>0</v>
      </c>
      <c r="P119" s="403"/>
      <c r="Q119" s="152">
        <f t="shared" si="40"/>
        <v>0</v>
      </c>
      <c r="R119" s="152">
        <f t="shared" si="40"/>
        <v>0</v>
      </c>
      <c r="S119" s="402">
        <f t="shared" si="41"/>
        <v>0</v>
      </c>
      <c r="T119" s="404">
        <f t="shared" si="42"/>
        <v>0</v>
      </c>
      <c r="U119" s="403"/>
      <c r="W119" s="43" t="str">
        <f t="shared" si="29"/>
        <v/>
      </c>
      <c r="X119" s="43" t="str">
        <f t="shared" si="27"/>
        <v/>
      </c>
      <c r="Y119" s="43" t="str">
        <f t="shared" si="28"/>
        <v/>
      </c>
    </row>
    <row r="120" spans="1:25" hidden="1">
      <c r="A120" s="155">
        <v>516000</v>
      </c>
      <c r="B120" s="156" t="s">
        <v>242</v>
      </c>
      <c r="C120" s="411" t="s">
        <v>246</v>
      </c>
      <c r="D120" s="351"/>
      <c r="E120" s="405">
        <v>20</v>
      </c>
      <c r="F120" s="406">
        <v>1.5</v>
      </c>
      <c r="G120" s="412">
        <f t="shared" si="43"/>
        <v>19.875</v>
      </c>
      <c r="H120" s="457">
        <v>61.94</v>
      </c>
      <c r="I120" s="465">
        <f>IF(ISBLANK(H120),"",SUM(G120:H120))*0.8</f>
        <v>65.451999999999998</v>
      </c>
      <c r="J120" s="407">
        <f t="shared" si="37"/>
        <v>82.99</v>
      </c>
      <c r="K120" s="408" t="s">
        <v>16</v>
      </c>
      <c r="L120" s="152"/>
      <c r="M120" s="152"/>
      <c r="N120" s="402">
        <f t="shared" si="38"/>
        <v>0</v>
      </c>
      <c r="O120" s="402">
        <f t="shared" si="39"/>
        <v>0</v>
      </c>
      <c r="P120" s="403"/>
      <c r="Q120" s="152">
        <f t="shared" si="40"/>
        <v>0</v>
      </c>
      <c r="R120" s="152">
        <f t="shared" si="40"/>
        <v>0</v>
      </c>
      <c r="S120" s="402">
        <f t="shared" si="41"/>
        <v>0</v>
      </c>
      <c r="T120" s="404">
        <f t="shared" si="42"/>
        <v>0</v>
      </c>
      <c r="U120" s="403"/>
      <c r="W120" s="43" t="str">
        <f t="shared" si="29"/>
        <v/>
      </c>
      <c r="X120" s="43" t="str">
        <f t="shared" si="27"/>
        <v/>
      </c>
      <c r="Y120" s="43" t="str">
        <f t="shared" si="28"/>
        <v/>
      </c>
    </row>
    <row r="121" spans="1:25" hidden="1">
      <c r="A121" s="155">
        <v>511130</v>
      </c>
      <c r="B121" s="156" t="s">
        <v>242</v>
      </c>
      <c r="C121" s="411" t="s">
        <v>618</v>
      </c>
      <c r="D121" s="351"/>
      <c r="E121" s="405"/>
      <c r="F121" s="406"/>
      <c r="G121" s="158"/>
      <c r="H121" s="457">
        <v>0.65</v>
      </c>
      <c r="I121" s="465">
        <f t="shared" ref="I121:I130" si="44">IF(ISBLANK(H121),"",SUM(G121:H121))</f>
        <v>0.65</v>
      </c>
      <c r="J121" s="407">
        <f t="shared" si="37"/>
        <v>0.82</v>
      </c>
      <c r="K121" s="408" t="s">
        <v>16</v>
      </c>
      <c r="L121" s="152"/>
      <c r="M121" s="152"/>
      <c r="N121" s="402">
        <f t="shared" si="38"/>
        <v>0</v>
      </c>
      <c r="O121" s="402">
        <f t="shared" si="39"/>
        <v>0</v>
      </c>
      <c r="P121" s="403"/>
      <c r="Q121" s="152">
        <f t="shared" si="40"/>
        <v>0</v>
      </c>
      <c r="R121" s="152">
        <f t="shared" si="40"/>
        <v>0</v>
      </c>
      <c r="S121" s="402">
        <f t="shared" si="41"/>
        <v>0</v>
      </c>
      <c r="T121" s="404">
        <f t="shared" si="42"/>
        <v>0</v>
      </c>
      <c r="U121" s="403"/>
      <c r="V121" s="159"/>
      <c r="W121" s="43" t="str">
        <f t="shared" si="29"/>
        <v/>
      </c>
      <c r="X121" s="43" t="str">
        <f t="shared" si="27"/>
        <v/>
      </c>
      <c r="Y121" s="43" t="str">
        <f t="shared" si="28"/>
        <v/>
      </c>
    </row>
    <row r="122" spans="1:25" hidden="1">
      <c r="A122" s="155">
        <v>533500</v>
      </c>
      <c r="B122" s="156" t="s">
        <v>242</v>
      </c>
      <c r="C122" s="411" t="s">
        <v>619</v>
      </c>
      <c r="D122" s="351">
        <v>1</v>
      </c>
      <c r="E122" s="182">
        <v>15</v>
      </c>
      <c r="F122" s="161">
        <v>1.95</v>
      </c>
      <c r="G122" s="412">
        <f>IF(E122&lt;=30,(0.6*E122+1.25)*F122,((0.6*30+1.25)+0.5*(E122-30))*F122)</f>
        <v>19.987500000000001</v>
      </c>
      <c r="H122" s="465">
        <v>16.73</v>
      </c>
      <c r="I122" s="465">
        <f t="shared" si="44"/>
        <v>36.717500000000001</v>
      </c>
      <c r="J122" s="407">
        <f t="shared" si="37"/>
        <v>46.56</v>
      </c>
      <c r="K122" s="408" t="s">
        <v>16</v>
      </c>
      <c r="L122" s="152"/>
      <c r="M122" s="152"/>
      <c r="N122" s="402">
        <f t="shared" si="38"/>
        <v>0</v>
      </c>
      <c r="O122" s="402">
        <f t="shared" si="39"/>
        <v>0</v>
      </c>
      <c r="P122" s="403"/>
      <c r="Q122" s="152">
        <f t="shared" si="40"/>
        <v>0</v>
      </c>
      <c r="R122" s="152">
        <f t="shared" si="40"/>
        <v>0</v>
      </c>
      <c r="S122" s="402">
        <f t="shared" si="41"/>
        <v>0</v>
      </c>
      <c r="T122" s="404">
        <f t="shared" si="42"/>
        <v>0</v>
      </c>
      <c r="U122" s="403"/>
      <c r="W122" s="43" t="str">
        <f t="shared" si="29"/>
        <v/>
      </c>
      <c r="X122" s="43" t="str">
        <f t="shared" si="27"/>
        <v/>
      </c>
      <c r="Y122" s="43" t="str">
        <f t="shared" si="28"/>
        <v/>
      </c>
    </row>
    <row r="123" spans="1:25" hidden="1">
      <c r="A123" s="155">
        <v>533100</v>
      </c>
      <c r="B123" s="156" t="s">
        <v>242</v>
      </c>
      <c r="C123" s="411" t="s">
        <v>620</v>
      </c>
      <c r="D123" s="351">
        <v>1</v>
      </c>
      <c r="E123" s="182">
        <v>15</v>
      </c>
      <c r="F123" s="161">
        <v>2.1</v>
      </c>
      <c r="G123" s="412">
        <f>IF(E123&lt;=30,(0.6*E123+1.25)*F123,((0.6*30+1.25)+0.5*(E123-30))*F123)</f>
        <v>21.525000000000002</v>
      </c>
      <c r="H123" s="465">
        <v>19.52</v>
      </c>
      <c r="I123" s="465">
        <f t="shared" si="44"/>
        <v>41.045000000000002</v>
      </c>
      <c r="J123" s="407">
        <f t="shared" si="37"/>
        <v>52.05</v>
      </c>
      <c r="K123" s="408" t="s">
        <v>16</v>
      </c>
      <c r="L123" s="152"/>
      <c r="M123" s="152"/>
      <c r="N123" s="402">
        <f t="shared" si="38"/>
        <v>0</v>
      </c>
      <c r="O123" s="402">
        <f t="shared" si="39"/>
        <v>0</v>
      </c>
      <c r="P123" s="403"/>
      <c r="Q123" s="152">
        <f t="shared" si="40"/>
        <v>0</v>
      </c>
      <c r="R123" s="152">
        <f t="shared" si="40"/>
        <v>0</v>
      </c>
      <c r="S123" s="402">
        <f t="shared" si="41"/>
        <v>0</v>
      </c>
      <c r="T123" s="404">
        <f t="shared" si="42"/>
        <v>0</v>
      </c>
      <c r="U123" s="403"/>
      <c r="W123" s="43" t="str">
        <f t="shared" si="29"/>
        <v/>
      </c>
      <c r="X123" s="43" t="str">
        <f t="shared" si="27"/>
        <v/>
      </c>
      <c r="Y123" s="43" t="str">
        <f t="shared" si="28"/>
        <v/>
      </c>
    </row>
    <row r="124" spans="1:25" hidden="1">
      <c r="A124" s="155">
        <v>511100</v>
      </c>
      <c r="B124" s="156" t="s">
        <v>242</v>
      </c>
      <c r="C124" s="411" t="s">
        <v>238</v>
      </c>
      <c r="D124" s="351">
        <v>1</v>
      </c>
      <c r="E124" s="182"/>
      <c r="F124" s="406">
        <v>0</v>
      </c>
      <c r="G124" s="158">
        <v>0</v>
      </c>
      <c r="H124" s="465">
        <v>2.38</v>
      </c>
      <c r="I124" s="465">
        <f t="shared" si="44"/>
        <v>2.38</v>
      </c>
      <c r="J124" s="407">
        <f t="shared" si="37"/>
        <v>3.02</v>
      </c>
      <c r="K124" s="408" t="s">
        <v>18</v>
      </c>
      <c r="L124" s="152"/>
      <c r="M124" s="152"/>
      <c r="N124" s="402">
        <f t="shared" si="38"/>
        <v>0</v>
      </c>
      <c r="O124" s="402">
        <f t="shared" si="39"/>
        <v>0</v>
      </c>
      <c r="P124" s="403"/>
      <c r="Q124" s="152">
        <f t="shared" si="40"/>
        <v>0</v>
      </c>
      <c r="R124" s="152">
        <f t="shared" si="40"/>
        <v>0</v>
      </c>
      <c r="S124" s="402">
        <f t="shared" si="41"/>
        <v>0</v>
      </c>
      <c r="T124" s="404">
        <f t="shared" si="42"/>
        <v>0</v>
      </c>
      <c r="U124" s="403"/>
      <c r="W124" s="43" t="str">
        <f t="shared" si="29"/>
        <v/>
      </c>
      <c r="X124" s="43" t="str">
        <f t="shared" si="27"/>
        <v/>
      </c>
      <c r="Y124" s="43" t="str">
        <f t="shared" si="28"/>
        <v/>
      </c>
    </row>
    <row r="125" spans="1:25" hidden="1">
      <c r="A125" s="155">
        <v>511000</v>
      </c>
      <c r="B125" s="156" t="s">
        <v>242</v>
      </c>
      <c r="C125" s="411" t="s">
        <v>220</v>
      </c>
      <c r="D125" s="351">
        <v>1</v>
      </c>
      <c r="E125" s="182">
        <v>0</v>
      </c>
      <c r="F125" s="406"/>
      <c r="G125" s="158">
        <v>0</v>
      </c>
      <c r="H125" s="465">
        <v>2.89</v>
      </c>
      <c r="I125" s="465">
        <f t="shared" si="44"/>
        <v>2.89</v>
      </c>
      <c r="J125" s="407">
        <f t="shared" si="37"/>
        <v>3.66</v>
      </c>
      <c r="K125" s="408" t="s">
        <v>18</v>
      </c>
      <c r="L125" s="152"/>
      <c r="M125" s="152"/>
      <c r="N125" s="402">
        <f t="shared" si="38"/>
        <v>0</v>
      </c>
      <c r="O125" s="402">
        <f t="shared" si="39"/>
        <v>0</v>
      </c>
      <c r="P125" s="403"/>
      <c r="Q125" s="152">
        <f t="shared" si="40"/>
        <v>0</v>
      </c>
      <c r="R125" s="152">
        <f t="shared" si="40"/>
        <v>0</v>
      </c>
      <c r="S125" s="402">
        <f t="shared" si="41"/>
        <v>0</v>
      </c>
      <c r="T125" s="404">
        <f t="shared" si="42"/>
        <v>0</v>
      </c>
      <c r="U125" s="403"/>
      <c r="W125" s="43" t="str">
        <f t="shared" si="29"/>
        <v/>
      </c>
      <c r="X125" s="43" t="str">
        <f t="shared" si="27"/>
        <v/>
      </c>
      <c r="Y125" s="43" t="str">
        <f t="shared" si="28"/>
        <v/>
      </c>
    </row>
    <row r="126" spans="1:25" hidden="1">
      <c r="A126" s="155">
        <v>511300</v>
      </c>
      <c r="B126" s="156" t="s">
        <v>242</v>
      </c>
      <c r="C126" s="411" t="s">
        <v>237</v>
      </c>
      <c r="D126" s="351"/>
      <c r="E126" s="182">
        <v>0</v>
      </c>
      <c r="F126" s="406">
        <v>0</v>
      </c>
      <c r="G126" s="158">
        <v>0</v>
      </c>
      <c r="H126" s="465">
        <v>0.14000000000000001</v>
      </c>
      <c r="I126" s="465">
        <f t="shared" si="44"/>
        <v>0.14000000000000001</v>
      </c>
      <c r="J126" s="407">
        <f t="shared" si="37"/>
        <v>0.18</v>
      </c>
      <c r="K126" s="408" t="s">
        <v>18</v>
      </c>
      <c r="L126" s="152"/>
      <c r="M126" s="152"/>
      <c r="N126" s="402">
        <f t="shared" si="38"/>
        <v>0</v>
      </c>
      <c r="O126" s="402">
        <f t="shared" si="39"/>
        <v>0</v>
      </c>
      <c r="P126" s="403"/>
      <c r="Q126" s="152">
        <f t="shared" si="40"/>
        <v>0</v>
      </c>
      <c r="R126" s="152">
        <f t="shared" si="40"/>
        <v>0</v>
      </c>
      <c r="S126" s="402">
        <f t="shared" si="41"/>
        <v>0</v>
      </c>
      <c r="T126" s="404">
        <f t="shared" si="42"/>
        <v>0</v>
      </c>
      <c r="U126" s="403"/>
      <c r="W126" s="43" t="str">
        <f t="shared" si="29"/>
        <v/>
      </c>
      <c r="X126" s="43" t="str">
        <f t="shared" si="27"/>
        <v/>
      </c>
      <c r="Y126" s="43" t="str">
        <f t="shared" si="28"/>
        <v/>
      </c>
    </row>
    <row r="127" spans="1:25" hidden="1">
      <c r="A127" s="155">
        <v>72961</v>
      </c>
      <c r="B127" s="156" t="s">
        <v>241</v>
      </c>
      <c r="C127" s="411" t="s">
        <v>240</v>
      </c>
      <c r="D127" s="351">
        <v>1</v>
      </c>
      <c r="E127" s="182">
        <v>0</v>
      </c>
      <c r="F127" s="406"/>
      <c r="G127" s="158">
        <v>0</v>
      </c>
      <c r="H127" s="465">
        <v>1.19</v>
      </c>
      <c r="I127" s="465">
        <f>IF(ISBLANK(H127),"",SUM(G127:H127))</f>
        <v>1.19</v>
      </c>
      <c r="J127" s="407">
        <f t="shared" si="37"/>
        <v>1.51</v>
      </c>
      <c r="K127" s="408" t="s">
        <v>18</v>
      </c>
      <c r="L127" s="152"/>
      <c r="M127" s="152"/>
      <c r="N127" s="402">
        <f t="shared" si="38"/>
        <v>0</v>
      </c>
      <c r="O127" s="402">
        <f t="shared" si="39"/>
        <v>0</v>
      </c>
      <c r="P127" s="403"/>
      <c r="Q127" s="152">
        <f t="shared" si="40"/>
        <v>0</v>
      </c>
      <c r="R127" s="152">
        <f t="shared" si="40"/>
        <v>0</v>
      </c>
      <c r="S127" s="402">
        <f t="shared" si="41"/>
        <v>0</v>
      </c>
      <c r="T127" s="404">
        <f t="shared" si="42"/>
        <v>0</v>
      </c>
      <c r="U127" s="403"/>
      <c r="W127" s="43" t="str">
        <f t="shared" si="29"/>
        <v/>
      </c>
      <c r="X127" s="43" t="str">
        <f t="shared" si="27"/>
        <v/>
      </c>
      <c r="Y127" s="43" t="str">
        <f t="shared" si="28"/>
        <v/>
      </c>
    </row>
    <row r="128" spans="1:25" hidden="1">
      <c r="A128" s="409">
        <v>450000</v>
      </c>
      <c r="B128" s="183" t="s">
        <v>242</v>
      </c>
      <c r="C128" s="411" t="s">
        <v>248</v>
      </c>
      <c r="D128" s="351"/>
      <c r="E128" s="182">
        <v>15</v>
      </c>
      <c r="F128" s="161">
        <v>1.95</v>
      </c>
      <c r="G128" s="412">
        <f>IF(E128&lt;=30,(0.6*E128+1.25)*F128,((0.6*30+1.25)+0.5*(E128-30))*F128)</f>
        <v>19.987500000000001</v>
      </c>
      <c r="H128" s="465">
        <v>10.6</v>
      </c>
      <c r="I128" s="465">
        <f t="shared" si="44"/>
        <v>30.587499999999999</v>
      </c>
      <c r="J128" s="407">
        <f t="shared" si="37"/>
        <v>38.78</v>
      </c>
      <c r="K128" s="408" t="s">
        <v>16</v>
      </c>
      <c r="L128" s="152"/>
      <c r="M128" s="152"/>
      <c r="N128" s="402">
        <f t="shared" si="38"/>
        <v>0</v>
      </c>
      <c r="O128" s="402">
        <f t="shared" si="39"/>
        <v>0</v>
      </c>
      <c r="P128" s="403"/>
      <c r="Q128" s="152">
        <f t="shared" si="40"/>
        <v>0</v>
      </c>
      <c r="R128" s="152">
        <f t="shared" si="40"/>
        <v>0</v>
      </c>
      <c r="S128" s="402">
        <f t="shared" si="41"/>
        <v>0</v>
      </c>
      <c r="T128" s="404">
        <f t="shared" si="42"/>
        <v>0</v>
      </c>
      <c r="U128" s="403"/>
      <c r="W128" s="43" t="str">
        <f t="shared" si="29"/>
        <v/>
      </c>
      <c r="X128" s="43" t="str">
        <f t="shared" si="27"/>
        <v/>
      </c>
      <c r="Y128" s="43" t="str">
        <f t="shared" si="28"/>
        <v/>
      </c>
    </row>
    <row r="129" spans="1:25" hidden="1">
      <c r="A129" s="155">
        <v>541000</v>
      </c>
      <c r="B129" s="156" t="s">
        <v>242</v>
      </c>
      <c r="C129" s="411" t="s">
        <v>250</v>
      </c>
      <c r="D129" s="351">
        <v>1</v>
      </c>
      <c r="E129" s="405">
        <v>15</v>
      </c>
      <c r="F129" s="406">
        <v>2.57</v>
      </c>
      <c r="G129" s="412">
        <f>IF(E129&lt;=30,(0.6*E129+1.25)*F129,((0.6*30+1.25)+0.5*(E129-30))*F129)</f>
        <v>26.342499999999998</v>
      </c>
      <c r="H129" s="465">
        <v>18.59</v>
      </c>
      <c r="I129" s="465">
        <f t="shared" si="44"/>
        <v>44.932499999999997</v>
      </c>
      <c r="J129" s="407">
        <f t="shared" si="37"/>
        <v>56.97</v>
      </c>
      <c r="K129" s="408" t="s">
        <v>16</v>
      </c>
      <c r="L129" s="152"/>
      <c r="M129" s="152"/>
      <c r="N129" s="402">
        <f t="shared" si="38"/>
        <v>0</v>
      </c>
      <c r="O129" s="402">
        <f t="shared" si="39"/>
        <v>0</v>
      </c>
      <c r="P129" s="403"/>
      <c r="Q129" s="152">
        <f t="shared" si="40"/>
        <v>0</v>
      </c>
      <c r="R129" s="152">
        <f t="shared" si="40"/>
        <v>0</v>
      </c>
      <c r="S129" s="402">
        <f t="shared" si="41"/>
        <v>0</v>
      </c>
      <c r="T129" s="404">
        <f t="shared" si="42"/>
        <v>0</v>
      </c>
      <c r="U129" s="403"/>
      <c r="W129" s="43" t="str">
        <f t="shared" si="29"/>
        <v/>
      </c>
      <c r="X129" s="43" t="str">
        <f t="shared" si="27"/>
        <v/>
      </c>
      <c r="Y129" s="43" t="str">
        <f t="shared" si="28"/>
        <v/>
      </c>
    </row>
    <row r="130" spans="1:25" hidden="1">
      <c r="A130" s="155">
        <v>533100</v>
      </c>
      <c r="B130" s="156" t="s">
        <v>242</v>
      </c>
      <c r="C130" s="411" t="s">
        <v>247</v>
      </c>
      <c r="D130" s="351">
        <v>1</v>
      </c>
      <c r="E130" s="182">
        <v>15</v>
      </c>
      <c r="F130" s="161">
        <v>1.95</v>
      </c>
      <c r="G130" s="412">
        <f>IF(E130&lt;=30,(0.6*E130+1.25)*F130,((0.6*30+1.25)+0.5*(E130-30))*F130)</f>
        <v>19.987500000000001</v>
      </c>
      <c r="H130" s="465">
        <v>19.52</v>
      </c>
      <c r="I130" s="465">
        <f t="shared" si="44"/>
        <v>39.5075</v>
      </c>
      <c r="J130" s="407">
        <f t="shared" si="37"/>
        <v>50.1</v>
      </c>
      <c r="K130" s="408" t="s">
        <v>16</v>
      </c>
      <c r="L130" s="152"/>
      <c r="M130" s="152"/>
      <c r="N130" s="402">
        <f t="shared" si="38"/>
        <v>0</v>
      </c>
      <c r="O130" s="402">
        <f t="shared" si="39"/>
        <v>0</v>
      </c>
      <c r="P130" s="403"/>
      <c r="Q130" s="152">
        <f t="shared" si="40"/>
        <v>0</v>
      </c>
      <c r="R130" s="152">
        <f t="shared" si="40"/>
        <v>0</v>
      </c>
      <c r="S130" s="402">
        <f t="shared" si="41"/>
        <v>0</v>
      </c>
      <c r="T130" s="404">
        <f t="shared" si="42"/>
        <v>0</v>
      </c>
      <c r="U130" s="403"/>
      <c r="W130" s="43" t="str">
        <f t="shared" si="29"/>
        <v/>
      </c>
      <c r="X130" s="43" t="str">
        <f t="shared" si="27"/>
        <v/>
      </c>
      <c r="Y130" s="43" t="str">
        <f t="shared" si="28"/>
        <v/>
      </c>
    </row>
    <row r="131" spans="1:25" hidden="1">
      <c r="A131" s="155">
        <v>542000</v>
      </c>
      <c r="B131" s="156" t="s">
        <v>242</v>
      </c>
      <c r="C131" s="411" t="s">
        <v>571</v>
      </c>
      <c r="D131" s="351">
        <v>1</v>
      </c>
      <c r="E131" s="182"/>
      <c r="F131" s="406"/>
      <c r="G131" s="158">
        <f>SUM(G132:G133)</f>
        <v>20.190799999999999</v>
      </c>
      <c r="H131" s="465">
        <v>38.17</v>
      </c>
      <c r="I131" s="465">
        <f t="shared" ref="I131" si="45">IF(ISBLANK(H131),"",SUM(G131:H131))</f>
        <v>58.360799999999998</v>
      </c>
      <c r="J131" s="407">
        <f t="shared" si="37"/>
        <v>74</v>
      </c>
      <c r="K131" s="408" t="s">
        <v>16</v>
      </c>
      <c r="L131" s="152"/>
      <c r="M131" s="152"/>
      <c r="N131" s="402">
        <f t="shared" si="38"/>
        <v>0</v>
      </c>
      <c r="O131" s="402">
        <f t="shared" si="39"/>
        <v>0</v>
      </c>
      <c r="P131" s="403"/>
      <c r="Q131" s="152">
        <f t="shared" ref="Q131:R131" si="46">L131</f>
        <v>0</v>
      </c>
      <c r="R131" s="152">
        <f t="shared" si="46"/>
        <v>0</v>
      </c>
      <c r="S131" s="402">
        <f t="shared" si="41"/>
        <v>0</v>
      </c>
      <c r="T131" s="404">
        <f t="shared" si="42"/>
        <v>0</v>
      </c>
      <c r="U131" s="403"/>
      <c r="W131" s="43" t="str">
        <f t="shared" si="29"/>
        <v/>
      </c>
      <c r="X131" s="43" t="str">
        <f t="shared" si="27"/>
        <v/>
      </c>
      <c r="Y131" s="43" t="str">
        <f t="shared" si="28"/>
        <v/>
      </c>
    </row>
    <row r="132" spans="1:25" hidden="1">
      <c r="A132" s="155" t="s">
        <v>183</v>
      </c>
      <c r="B132" s="156"/>
      <c r="C132" s="348" t="s">
        <v>251</v>
      </c>
      <c r="D132" s="157"/>
      <c r="E132" s="405">
        <v>500</v>
      </c>
      <c r="F132" s="406">
        <v>3.6999999999999998E-2</v>
      </c>
      <c r="G132" s="158">
        <f>IF(E132&lt;=30,(0.42*E132+3.55)*F132,((0.42*30+3.55)+0.35*(E132-30))*F132)</f>
        <v>6.68405</v>
      </c>
      <c r="H132" s="465"/>
      <c r="I132" s="465"/>
      <c r="J132" s="407"/>
      <c r="K132" s="394" t="s">
        <v>1029</v>
      </c>
      <c r="L132" s="212"/>
      <c r="M132" s="213"/>
      <c r="N132" s="402">
        <f t="shared" si="38"/>
        <v>0</v>
      </c>
      <c r="O132" s="402">
        <f t="shared" si="39"/>
        <v>0</v>
      </c>
      <c r="P132" s="403"/>
      <c r="Q132" s="212"/>
      <c r="R132" s="213"/>
      <c r="S132" s="402">
        <f t="shared" si="41"/>
        <v>0</v>
      </c>
      <c r="T132" s="404">
        <f t="shared" si="42"/>
        <v>0</v>
      </c>
      <c r="U132" s="403"/>
      <c r="V132" s="144" t="str">
        <f>IF(T131&gt;0,"xx",IF(O131&gt;0,"xy",""))</f>
        <v/>
      </c>
      <c r="W132" s="43" t="str">
        <f t="shared" si="29"/>
        <v/>
      </c>
      <c r="X132" s="43" t="str">
        <f>IF(V132="X","x",IF(V132="y","x",IF(V132="xx","x",IF(T132&gt;0,"x",""))))</f>
        <v/>
      </c>
      <c r="Y132" s="43" t="str">
        <f t="shared" si="28"/>
        <v/>
      </c>
    </row>
    <row r="133" spans="1:25" hidden="1">
      <c r="A133" s="155" t="s">
        <v>183</v>
      </c>
      <c r="B133" s="156"/>
      <c r="C133" s="348" t="s">
        <v>252</v>
      </c>
      <c r="D133" s="157"/>
      <c r="E133" s="182">
        <v>10</v>
      </c>
      <c r="F133" s="406">
        <v>1.863</v>
      </c>
      <c r="G133" s="412">
        <f>IF(E133&lt;=30,(0.6*E133+1.25)*F133,((0.6*30+1.25)+0.5*(E133-30))*F133)</f>
        <v>13.50675</v>
      </c>
      <c r="H133" s="465"/>
      <c r="I133" s="465"/>
      <c r="J133" s="407"/>
      <c r="K133" s="394" t="s">
        <v>1029</v>
      </c>
      <c r="L133" s="212"/>
      <c r="M133" s="213"/>
      <c r="N133" s="402">
        <f t="shared" si="38"/>
        <v>0</v>
      </c>
      <c r="O133" s="402">
        <f t="shared" si="39"/>
        <v>0</v>
      </c>
      <c r="P133" s="403"/>
      <c r="Q133" s="212"/>
      <c r="R133" s="213"/>
      <c r="S133" s="402">
        <f t="shared" si="41"/>
        <v>0</v>
      </c>
      <c r="T133" s="404">
        <f t="shared" si="42"/>
        <v>0</v>
      </c>
      <c r="U133" s="403"/>
      <c r="V133" s="144" t="str">
        <f>IF(T131&gt;0,"xx",IF(O131&gt;0,"xy",""))</f>
        <v/>
      </c>
      <c r="W133" s="43" t="str">
        <f t="shared" si="29"/>
        <v/>
      </c>
      <c r="X133" s="43" t="str">
        <f t="shared" ref="X133:X199" si="47">IF(V133="X","x",IF(V133="y","x",IF(V133="xx","x",IF(T133&gt;0,"x",""))))</f>
        <v/>
      </c>
      <c r="Y133" s="43" t="str">
        <f t="shared" si="28"/>
        <v/>
      </c>
    </row>
    <row r="134" spans="1:25" hidden="1">
      <c r="A134" s="155">
        <v>543000</v>
      </c>
      <c r="B134" s="156" t="s">
        <v>242</v>
      </c>
      <c r="C134" s="411" t="s">
        <v>572</v>
      </c>
      <c r="D134" s="351">
        <v>1</v>
      </c>
      <c r="E134" s="182"/>
      <c r="F134" s="406"/>
      <c r="G134" s="158">
        <f>SUM(G135:G136)</f>
        <v>23.312000000000001</v>
      </c>
      <c r="H134" s="465">
        <v>47.16</v>
      </c>
      <c r="I134" s="465">
        <f t="shared" ref="I134:I172" si="48">IF(ISBLANK(H134),"",SUM(G134:H134))</f>
        <v>70.471999999999994</v>
      </c>
      <c r="J134" s="407">
        <f t="shared" ref="J134:J189" si="49">IF(ISBLANK(H134),0,ROUND(I134*(1+$E$10)*(1+$E$11*D134),2))</f>
        <v>89.36</v>
      </c>
      <c r="K134" s="408" t="s">
        <v>16</v>
      </c>
      <c r="L134" s="152"/>
      <c r="M134" s="152"/>
      <c r="N134" s="402">
        <f t="shared" si="38"/>
        <v>0</v>
      </c>
      <c r="O134" s="402">
        <f t="shared" si="39"/>
        <v>0</v>
      </c>
      <c r="P134" s="403"/>
      <c r="Q134" s="152">
        <f t="shared" ref="Q134:R134" si="50">L134</f>
        <v>0</v>
      </c>
      <c r="R134" s="152">
        <f t="shared" si="50"/>
        <v>0</v>
      </c>
      <c r="S134" s="402">
        <f t="shared" si="41"/>
        <v>0</v>
      </c>
      <c r="T134" s="404">
        <f t="shared" si="42"/>
        <v>0</v>
      </c>
      <c r="U134" s="403"/>
      <c r="W134" s="43" t="str">
        <f t="shared" si="29"/>
        <v/>
      </c>
      <c r="X134" s="43" t="str">
        <f t="shared" si="47"/>
        <v/>
      </c>
      <c r="Y134" s="43" t="str">
        <f t="shared" si="28"/>
        <v/>
      </c>
    </row>
    <row r="135" spans="1:25" hidden="1">
      <c r="A135" s="155" t="s">
        <v>183</v>
      </c>
      <c r="B135" s="156"/>
      <c r="C135" s="348" t="s">
        <v>251</v>
      </c>
      <c r="D135" s="157"/>
      <c r="E135" s="405">
        <v>500</v>
      </c>
      <c r="F135" s="406">
        <v>5.5E-2</v>
      </c>
      <c r="G135" s="158">
        <f>IF(E135&lt;=30,(0.42*E135+3.55)*F135,((0.42*30+3.55)+0.35*(E135-30))*F135)</f>
        <v>9.9357500000000005</v>
      </c>
      <c r="H135" s="465"/>
      <c r="I135" s="465" t="str">
        <f t="shared" si="48"/>
        <v/>
      </c>
      <c r="J135" s="407">
        <f t="shared" si="49"/>
        <v>0</v>
      </c>
      <c r="K135" s="394" t="s">
        <v>1029</v>
      </c>
      <c r="L135" s="212"/>
      <c r="M135" s="213"/>
      <c r="N135" s="402">
        <f t="shared" si="38"/>
        <v>0</v>
      </c>
      <c r="O135" s="402">
        <f t="shared" si="39"/>
        <v>0</v>
      </c>
      <c r="P135" s="403"/>
      <c r="Q135" s="212"/>
      <c r="R135" s="213"/>
      <c r="S135" s="402">
        <f t="shared" si="41"/>
        <v>0</v>
      </c>
      <c r="T135" s="404">
        <f t="shared" si="42"/>
        <v>0</v>
      </c>
      <c r="U135" s="403"/>
      <c r="V135" s="144" t="str">
        <f>IF(T134&gt;0,"xx",IF(O134&gt;0,"xy",""))</f>
        <v/>
      </c>
      <c r="W135" s="43" t="str">
        <f t="shared" si="29"/>
        <v/>
      </c>
      <c r="X135" s="43" t="str">
        <f t="shared" si="47"/>
        <v/>
      </c>
      <c r="Y135" s="43" t="str">
        <f t="shared" si="28"/>
        <v/>
      </c>
    </row>
    <row r="136" spans="1:25" hidden="1">
      <c r="A136" s="155" t="s">
        <v>183</v>
      </c>
      <c r="B136" s="156"/>
      <c r="C136" s="348" t="s">
        <v>252</v>
      </c>
      <c r="D136" s="157"/>
      <c r="E136" s="182">
        <v>10</v>
      </c>
      <c r="F136" s="406">
        <v>1.845</v>
      </c>
      <c r="G136" s="412">
        <f>IF(E136&lt;=30,(0.6*E136+1.25)*F136,((0.6*30+1.25)+0.5*(E136-30))*F136)</f>
        <v>13.376250000000001</v>
      </c>
      <c r="H136" s="465"/>
      <c r="I136" s="465" t="str">
        <f t="shared" si="48"/>
        <v/>
      </c>
      <c r="J136" s="407">
        <f t="shared" si="49"/>
        <v>0</v>
      </c>
      <c r="K136" s="394" t="s">
        <v>1029</v>
      </c>
      <c r="L136" s="212"/>
      <c r="M136" s="213"/>
      <c r="N136" s="402">
        <f t="shared" si="38"/>
        <v>0</v>
      </c>
      <c r="O136" s="402">
        <f t="shared" si="39"/>
        <v>0</v>
      </c>
      <c r="P136" s="403"/>
      <c r="Q136" s="212"/>
      <c r="R136" s="213"/>
      <c r="S136" s="402">
        <f t="shared" si="41"/>
        <v>0</v>
      </c>
      <c r="T136" s="404">
        <f t="shared" si="42"/>
        <v>0</v>
      </c>
      <c r="U136" s="403"/>
      <c r="V136" s="144" t="str">
        <f>IF(T134&gt;0,"xx",IF(O134&gt;0,"xy",""))</f>
        <v/>
      </c>
      <c r="W136" s="43" t="str">
        <f t="shared" si="29"/>
        <v/>
      </c>
      <c r="X136" s="43" t="str">
        <f t="shared" si="47"/>
        <v/>
      </c>
      <c r="Y136" s="43" t="str">
        <f t="shared" si="28"/>
        <v/>
      </c>
    </row>
    <row r="137" spans="1:25" hidden="1">
      <c r="A137" s="155">
        <v>544000</v>
      </c>
      <c r="B137" s="156" t="s">
        <v>242</v>
      </c>
      <c r="C137" s="411" t="s">
        <v>573</v>
      </c>
      <c r="D137" s="351">
        <v>1</v>
      </c>
      <c r="E137" s="182"/>
      <c r="F137" s="406"/>
      <c r="G137" s="158">
        <f>SUM(G138:G139)</f>
        <v>25.723899999999997</v>
      </c>
      <c r="H137" s="465">
        <v>50.06</v>
      </c>
      <c r="I137" s="465">
        <f t="shared" si="48"/>
        <v>75.783900000000003</v>
      </c>
      <c r="J137" s="407">
        <f t="shared" si="49"/>
        <v>96.09</v>
      </c>
      <c r="K137" s="408" t="s">
        <v>16</v>
      </c>
      <c r="L137" s="152"/>
      <c r="M137" s="152"/>
      <c r="N137" s="402">
        <f t="shared" si="38"/>
        <v>0</v>
      </c>
      <c r="O137" s="402">
        <f t="shared" si="39"/>
        <v>0</v>
      </c>
      <c r="P137" s="403"/>
      <c r="Q137" s="152">
        <f t="shared" ref="Q137:R161" si="51">L137</f>
        <v>0</v>
      </c>
      <c r="R137" s="152">
        <f t="shared" si="51"/>
        <v>0</v>
      </c>
      <c r="S137" s="402">
        <f t="shared" si="41"/>
        <v>0</v>
      </c>
      <c r="T137" s="404">
        <f t="shared" si="42"/>
        <v>0</v>
      </c>
      <c r="U137" s="403"/>
      <c r="W137" s="43" t="str">
        <f t="shared" si="29"/>
        <v/>
      </c>
      <c r="X137" s="43" t="str">
        <f t="shared" si="47"/>
        <v/>
      </c>
      <c r="Y137" s="43" t="str">
        <f t="shared" si="28"/>
        <v/>
      </c>
    </row>
    <row r="138" spans="1:25" hidden="1">
      <c r="A138" s="155" t="s">
        <v>183</v>
      </c>
      <c r="B138" s="156"/>
      <c r="C138" s="348" t="s">
        <v>251</v>
      </c>
      <c r="D138" s="157"/>
      <c r="E138" s="405">
        <v>500</v>
      </c>
      <c r="F138" s="406">
        <v>7.0999999999999994E-2</v>
      </c>
      <c r="G138" s="158">
        <f>IF(E138&lt;=30,(0.42*E138+3.55)*F138,((0.42*30+3.55)+0.35*(E138-30))*F138)</f>
        <v>12.826149999999998</v>
      </c>
      <c r="H138" s="465"/>
      <c r="I138" s="465" t="str">
        <f t="shared" si="48"/>
        <v/>
      </c>
      <c r="J138" s="407">
        <f t="shared" si="49"/>
        <v>0</v>
      </c>
      <c r="K138" s="394" t="s">
        <v>1029</v>
      </c>
      <c r="L138" s="212"/>
      <c r="M138" s="213"/>
      <c r="N138" s="402">
        <f t="shared" si="38"/>
        <v>0</v>
      </c>
      <c r="O138" s="402">
        <f t="shared" si="39"/>
        <v>0</v>
      </c>
      <c r="P138" s="403"/>
      <c r="Q138" s="212"/>
      <c r="R138" s="213"/>
      <c r="S138" s="402">
        <f t="shared" si="41"/>
        <v>0</v>
      </c>
      <c r="T138" s="404">
        <f t="shared" si="42"/>
        <v>0</v>
      </c>
      <c r="U138" s="403"/>
      <c r="V138" s="144" t="str">
        <f>IF(T137&gt;0,"xx",IF(O137&gt;0,"xy",""))</f>
        <v/>
      </c>
      <c r="W138" s="43" t="str">
        <f t="shared" si="29"/>
        <v/>
      </c>
      <c r="X138" s="43" t="str">
        <f t="shared" si="47"/>
        <v/>
      </c>
      <c r="Y138" s="43" t="str">
        <f t="shared" si="28"/>
        <v/>
      </c>
    </row>
    <row r="139" spans="1:25" hidden="1">
      <c r="A139" s="155" t="s">
        <v>183</v>
      </c>
      <c r="B139" s="156"/>
      <c r="C139" s="348" t="s">
        <v>252</v>
      </c>
      <c r="D139" s="157"/>
      <c r="E139" s="182">
        <v>10</v>
      </c>
      <c r="F139" s="406">
        <v>1.7789999999999999</v>
      </c>
      <c r="G139" s="412">
        <f>IF(E139&lt;=30,(0.6*E139+1.25)*F139,((0.6*30+1.25)+0.5*(E139-30))*F139)</f>
        <v>12.897749999999998</v>
      </c>
      <c r="H139" s="465"/>
      <c r="I139" s="465" t="str">
        <f t="shared" si="48"/>
        <v/>
      </c>
      <c r="J139" s="407">
        <f t="shared" si="49"/>
        <v>0</v>
      </c>
      <c r="K139" s="394" t="s">
        <v>1029</v>
      </c>
      <c r="L139" s="212"/>
      <c r="M139" s="213"/>
      <c r="N139" s="402">
        <f t="shared" si="38"/>
        <v>0</v>
      </c>
      <c r="O139" s="402">
        <f t="shared" si="39"/>
        <v>0</v>
      </c>
      <c r="P139" s="403"/>
      <c r="Q139" s="212"/>
      <c r="R139" s="213"/>
      <c r="S139" s="402">
        <f t="shared" si="41"/>
        <v>0</v>
      </c>
      <c r="T139" s="404">
        <f t="shared" si="42"/>
        <v>0</v>
      </c>
      <c r="U139" s="403"/>
      <c r="V139" s="144" t="str">
        <f>IF(T137&gt;0,"xx",IF(O137&gt;0,"xy",""))</f>
        <v/>
      </c>
      <c r="W139" s="43" t="str">
        <f t="shared" si="29"/>
        <v/>
      </c>
      <c r="X139" s="43" t="str">
        <f t="shared" si="47"/>
        <v/>
      </c>
      <c r="Y139" s="43" t="str">
        <f t="shared" si="28"/>
        <v/>
      </c>
    </row>
    <row r="140" spans="1:25" hidden="1">
      <c r="A140" s="155">
        <v>545000</v>
      </c>
      <c r="B140" s="156" t="s">
        <v>242</v>
      </c>
      <c r="C140" s="411" t="s">
        <v>574</v>
      </c>
      <c r="D140" s="351">
        <v>1</v>
      </c>
      <c r="E140" s="182"/>
      <c r="F140" s="406"/>
      <c r="G140" s="158">
        <f>SUM(G141:G142)</f>
        <v>28.671700000000001</v>
      </c>
      <c r="H140" s="465">
        <v>58.1</v>
      </c>
      <c r="I140" s="465">
        <f t="shared" si="48"/>
        <v>86.77170000000001</v>
      </c>
      <c r="J140" s="407">
        <f t="shared" si="49"/>
        <v>110.03</v>
      </c>
      <c r="K140" s="408" t="s">
        <v>16</v>
      </c>
      <c r="L140" s="152"/>
      <c r="M140" s="152"/>
      <c r="N140" s="402">
        <f t="shared" si="38"/>
        <v>0</v>
      </c>
      <c r="O140" s="402">
        <f t="shared" si="39"/>
        <v>0</v>
      </c>
      <c r="P140" s="403"/>
      <c r="Q140" s="152">
        <f t="shared" si="51"/>
        <v>0</v>
      </c>
      <c r="R140" s="152">
        <f t="shared" si="51"/>
        <v>0</v>
      </c>
      <c r="S140" s="402">
        <f t="shared" si="41"/>
        <v>0</v>
      </c>
      <c r="T140" s="404">
        <f t="shared" si="42"/>
        <v>0</v>
      </c>
      <c r="U140" s="403"/>
      <c r="W140" s="43" t="str">
        <f t="shared" si="29"/>
        <v/>
      </c>
      <c r="X140" s="43" t="str">
        <f t="shared" si="47"/>
        <v/>
      </c>
      <c r="Y140" s="43" t="str">
        <f t="shared" si="28"/>
        <v/>
      </c>
    </row>
    <row r="141" spans="1:25" hidden="1">
      <c r="A141" s="155" t="s">
        <v>183</v>
      </c>
      <c r="B141" s="156"/>
      <c r="C141" s="348" t="s">
        <v>251</v>
      </c>
      <c r="D141" s="157"/>
      <c r="E141" s="405">
        <v>500</v>
      </c>
      <c r="F141" s="406">
        <v>8.7999999999999995E-2</v>
      </c>
      <c r="G141" s="158">
        <f>IF(E141&lt;=30,(0.42*E141+3.55)*F141,((0.42*30+3.55)+0.35*(E141-30))*F141)</f>
        <v>15.8972</v>
      </c>
      <c r="H141" s="465"/>
      <c r="I141" s="465" t="str">
        <f t="shared" si="48"/>
        <v/>
      </c>
      <c r="J141" s="407">
        <f t="shared" si="49"/>
        <v>0</v>
      </c>
      <c r="K141" s="394" t="s">
        <v>1029</v>
      </c>
      <c r="L141" s="212"/>
      <c r="M141" s="213"/>
      <c r="N141" s="402">
        <f t="shared" si="38"/>
        <v>0</v>
      </c>
      <c r="O141" s="402">
        <f t="shared" si="39"/>
        <v>0</v>
      </c>
      <c r="P141" s="403"/>
      <c r="Q141" s="212"/>
      <c r="R141" s="213"/>
      <c r="S141" s="402">
        <f t="shared" si="41"/>
        <v>0</v>
      </c>
      <c r="T141" s="404">
        <f t="shared" si="42"/>
        <v>0</v>
      </c>
      <c r="U141" s="403"/>
      <c r="V141" s="144" t="str">
        <f>IF(T140&gt;0,"xx",IF(O140&gt;0,"xy",""))</f>
        <v/>
      </c>
      <c r="W141" s="43" t="str">
        <f t="shared" si="29"/>
        <v/>
      </c>
      <c r="X141" s="43" t="str">
        <f t="shared" si="47"/>
        <v/>
      </c>
      <c r="Y141" s="43" t="str">
        <f t="shared" si="28"/>
        <v/>
      </c>
    </row>
    <row r="142" spans="1:25" hidden="1">
      <c r="A142" s="155" t="s">
        <v>183</v>
      </c>
      <c r="B142" s="156"/>
      <c r="C142" s="348" t="s">
        <v>252</v>
      </c>
      <c r="D142" s="157"/>
      <c r="E142" s="182">
        <v>10</v>
      </c>
      <c r="F142" s="406">
        <v>1.762</v>
      </c>
      <c r="G142" s="412">
        <f>IF(E142&lt;=30,(0.6*E142+1.25)*F142,((0.6*30+1.25)+0.5*(E142-30))*F142)</f>
        <v>12.7745</v>
      </c>
      <c r="H142" s="465"/>
      <c r="I142" s="465" t="str">
        <f t="shared" si="48"/>
        <v/>
      </c>
      <c r="J142" s="407">
        <f t="shared" si="49"/>
        <v>0</v>
      </c>
      <c r="K142" s="394" t="s">
        <v>1029</v>
      </c>
      <c r="L142" s="212"/>
      <c r="M142" s="213"/>
      <c r="N142" s="402">
        <f t="shared" si="38"/>
        <v>0</v>
      </c>
      <c r="O142" s="402">
        <f t="shared" si="39"/>
        <v>0</v>
      </c>
      <c r="P142" s="403"/>
      <c r="Q142" s="212"/>
      <c r="R142" s="213"/>
      <c r="S142" s="402">
        <f t="shared" si="41"/>
        <v>0</v>
      </c>
      <c r="T142" s="404">
        <f t="shared" si="42"/>
        <v>0</v>
      </c>
      <c r="U142" s="403"/>
      <c r="V142" s="144" t="str">
        <f>IF(T140&gt;0,"xx",IF(O140&gt;0,"xy",""))</f>
        <v/>
      </c>
      <c r="W142" s="43" t="str">
        <f t="shared" si="29"/>
        <v/>
      </c>
      <c r="X142" s="43" t="str">
        <f t="shared" si="47"/>
        <v/>
      </c>
      <c r="Y142" s="43" t="str">
        <f t="shared" si="28"/>
        <v/>
      </c>
    </row>
    <row r="143" spans="1:25" hidden="1">
      <c r="A143" s="155">
        <v>546000</v>
      </c>
      <c r="B143" s="156" t="s">
        <v>242</v>
      </c>
      <c r="C143" s="411" t="s">
        <v>575</v>
      </c>
      <c r="D143" s="351">
        <v>1</v>
      </c>
      <c r="E143" s="182"/>
      <c r="F143" s="406"/>
      <c r="G143" s="158">
        <f>SUM(G144:G145)</f>
        <v>31.619500000000002</v>
      </c>
      <c r="H143" s="465">
        <v>66.12</v>
      </c>
      <c r="I143" s="465">
        <f t="shared" si="48"/>
        <v>97.739500000000007</v>
      </c>
      <c r="J143" s="407">
        <f t="shared" si="49"/>
        <v>123.93</v>
      </c>
      <c r="K143" s="408" t="s">
        <v>16</v>
      </c>
      <c r="L143" s="152"/>
      <c r="M143" s="152"/>
      <c r="N143" s="402">
        <f t="shared" si="38"/>
        <v>0</v>
      </c>
      <c r="O143" s="402">
        <f t="shared" si="39"/>
        <v>0</v>
      </c>
      <c r="P143" s="403"/>
      <c r="Q143" s="152">
        <f t="shared" si="51"/>
        <v>0</v>
      </c>
      <c r="R143" s="152">
        <f t="shared" si="51"/>
        <v>0</v>
      </c>
      <c r="S143" s="402">
        <f t="shared" si="41"/>
        <v>0</v>
      </c>
      <c r="T143" s="404">
        <f t="shared" si="42"/>
        <v>0</v>
      </c>
      <c r="U143" s="403"/>
      <c r="W143" s="43" t="str">
        <f t="shared" si="29"/>
        <v/>
      </c>
      <c r="X143" s="43" t="str">
        <f t="shared" si="47"/>
        <v/>
      </c>
      <c r="Y143" s="43" t="str">
        <f t="shared" si="28"/>
        <v/>
      </c>
    </row>
    <row r="144" spans="1:25" hidden="1">
      <c r="A144" s="155" t="s">
        <v>183</v>
      </c>
      <c r="B144" s="156"/>
      <c r="C144" s="348" t="s">
        <v>251</v>
      </c>
      <c r="D144" s="157"/>
      <c r="E144" s="405">
        <v>500</v>
      </c>
      <c r="F144" s="406">
        <v>0.105</v>
      </c>
      <c r="G144" s="158">
        <f>IF(E144&lt;=30,(0.42*E144+3.55)*F144,((0.42*30+3.55)+0.35*(E144-30))*F144)</f>
        <v>18.968250000000001</v>
      </c>
      <c r="H144" s="465"/>
      <c r="I144" s="465" t="str">
        <f t="shared" si="48"/>
        <v/>
      </c>
      <c r="J144" s="407">
        <f t="shared" si="49"/>
        <v>0</v>
      </c>
      <c r="K144" s="394" t="s">
        <v>1029</v>
      </c>
      <c r="L144" s="212"/>
      <c r="M144" s="213"/>
      <c r="N144" s="402">
        <f t="shared" si="38"/>
        <v>0</v>
      </c>
      <c r="O144" s="402">
        <f t="shared" si="39"/>
        <v>0</v>
      </c>
      <c r="P144" s="403"/>
      <c r="Q144" s="212"/>
      <c r="R144" s="213"/>
      <c r="S144" s="402">
        <f t="shared" si="41"/>
        <v>0</v>
      </c>
      <c r="T144" s="404">
        <f t="shared" si="42"/>
        <v>0</v>
      </c>
      <c r="U144" s="403"/>
      <c r="V144" s="144" t="str">
        <f>IF(T143&gt;0,"xx",IF(O143&gt;0,"xy",""))</f>
        <v/>
      </c>
      <c r="W144" s="43" t="str">
        <f t="shared" si="29"/>
        <v/>
      </c>
      <c r="X144" s="43" t="str">
        <f t="shared" si="47"/>
        <v/>
      </c>
      <c r="Y144" s="43" t="str">
        <f t="shared" si="28"/>
        <v/>
      </c>
    </row>
    <row r="145" spans="1:25" hidden="1">
      <c r="A145" s="155" t="s">
        <v>183</v>
      </c>
      <c r="B145" s="156"/>
      <c r="C145" s="348" t="s">
        <v>252</v>
      </c>
      <c r="D145" s="157"/>
      <c r="E145" s="182">
        <v>10</v>
      </c>
      <c r="F145" s="406">
        <v>1.7450000000000001</v>
      </c>
      <c r="G145" s="412">
        <f>IF(E145&lt;=30,(0.6*E145+1.25)*F145,((0.6*30+1.25)+0.5*(E145-30))*F145)</f>
        <v>12.651250000000001</v>
      </c>
      <c r="H145" s="465"/>
      <c r="I145" s="465" t="str">
        <f t="shared" si="48"/>
        <v/>
      </c>
      <c r="J145" s="407">
        <f t="shared" si="49"/>
        <v>0</v>
      </c>
      <c r="K145" s="394" t="s">
        <v>1029</v>
      </c>
      <c r="L145" s="212"/>
      <c r="M145" s="213"/>
      <c r="N145" s="402">
        <f t="shared" si="38"/>
        <v>0</v>
      </c>
      <c r="O145" s="402">
        <f t="shared" si="39"/>
        <v>0</v>
      </c>
      <c r="P145" s="403"/>
      <c r="Q145" s="212"/>
      <c r="R145" s="213"/>
      <c r="S145" s="402">
        <f t="shared" si="41"/>
        <v>0</v>
      </c>
      <c r="T145" s="404">
        <f t="shared" si="42"/>
        <v>0</v>
      </c>
      <c r="U145" s="403"/>
      <c r="V145" s="144" t="str">
        <f>IF(T143&gt;0,"xx",IF(O143&gt;0,"xy",""))</f>
        <v/>
      </c>
      <c r="W145" s="43" t="str">
        <f t="shared" si="29"/>
        <v/>
      </c>
      <c r="X145" s="43" t="str">
        <f t="shared" si="47"/>
        <v/>
      </c>
      <c r="Y145" s="43" t="str">
        <f t="shared" si="28"/>
        <v/>
      </c>
    </row>
    <row r="146" spans="1:25" hidden="1">
      <c r="A146" s="155">
        <v>547000</v>
      </c>
      <c r="B146" s="156" t="s">
        <v>242</v>
      </c>
      <c r="C146" s="411" t="s">
        <v>576</v>
      </c>
      <c r="D146" s="351">
        <v>1</v>
      </c>
      <c r="E146" s="182"/>
      <c r="F146" s="406"/>
      <c r="G146" s="158">
        <f>SUM(G147:G148)</f>
        <v>34.386650000000003</v>
      </c>
      <c r="H146" s="465">
        <v>74.56</v>
      </c>
      <c r="I146" s="465">
        <f t="shared" si="48"/>
        <v>108.94665000000001</v>
      </c>
      <c r="J146" s="407">
        <f t="shared" si="49"/>
        <v>138.13999999999999</v>
      </c>
      <c r="K146" s="408" t="s">
        <v>16</v>
      </c>
      <c r="L146" s="152"/>
      <c r="M146" s="152"/>
      <c r="N146" s="402">
        <f t="shared" si="38"/>
        <v>0</v>
      </c>
      <c r="O146" s="402">
        <f t="shared" si="39"/>
        <v>0</v>
      </c>
      <c r="P146" s="403"/>
      <c r="Q146" s="152">
        <f t="shared" si="51"/>
        <v>0</v>
      </c>
      <c r="R146" s="152">
        <f t="shared" si="51"/>
        <v>0</v>
      </c>
      <c r="S146" s="402">
        <f t="shared" si="41"/>
        <v>0</v>
      </c>
      <c r="T146" s="404">
        <f t="shared" si="42"/>
        <v>0</v>
      </c>
      <c r="U146" s="403"/>
      <c r="W146" s="43" t="str">
        <f t="shared" si="29"/>
        <v/>
      </c>
      <c r="X146" s="43" t="str">
        <f t="shared" si="47"/>
        <v/>
      </c>
      <c r="Y146" s="43" t="str">
        <f t="shared" ref="Y146:Y209" si="52">IF(V146="X","x",IF(T146&gt;0,"x",""))</f>
        <v/>
      </c>
    </row>
    <row r="147" spans="1:25" hidden="1">
      <c r="A147" s="155" t="s">
        <v>183</v>
      </c>
      <c r="B147" s="156"/>
      <c r="C147" s="348" t="s">
        <v>251</v>
      </c>
      <c r="D147" s="157"/>
      <c r="E147" s="405">
        <v>500</v>
      </c>
      <c r="F147" s="406">
        <v>0.121</v>
      </c>
      <c r="G147" s="158">
        <f>IF(E147&lt;=30,(0.42*E147+3.55)*F147,((0.42*30+3.55)+0.35*(E147-30))*F147)</f>
        <v>21.858650000000001</v>
      </c>
      <c r="H147" s="465"/>
      <c r="I147" s="465" t="str">
        <f t="shared" si="48"/>
        <v/>
      </c>
      <c r="J147" s="407">
        <f t="shared" si="49"/>
        <v>0</v>
      </c>
      <c r="K147" s="394" t="s">
        <v>1029</v>
      </c>
      <c r="L147" s="212"/>
      <c r="M147" s="213"/>
      <c r="N147" s="402">
        <f t="shared" si="38"/>
        <v>0</v>
      </c>
      <c r="O147" s="402">
        <f t="shared" si="39"/>
        <v>0</v>
      </c>
      <c r="P147" s="403"/>
      <c r="Q147" s="212"/>
      <c r="R147" s="213"/>
      <c r="S147" s="402">
        <f t="shared" si="41"/>
        <v>0</v>
      </c>
      <c r="T147" s="404">
        <f t="shared" si="42"/>
        <v>0</v>
      </c>
      <c r="U147" s="403"/>
      <c r="V147" s="144" t="str">
        <f>IF(T146&gt;0,"xx",IF(O146&gt;0,"xy",""))</f>
        <v/>
      </c>
      <c r="W147" s="43" t="str">
        <f t="shared" si="29"/>
        <v/>
      </c>
      <c r="X147" s="43" t="str">
        <f t="shared" si="47"/>
        <v/>
      </c>
      <c r="Y147" s="43" t="str">
        <f t="shared" si="52"/>
        <v/>
      </c>
    </row>
    <row r="148" spans="1:25" hidden="1">
      <c r="A148" s="155" t="s">
        <v>183</v>
      </c>
      <c r="B148" s="156"/>
      <c r="C148" s="348" t="s">
        <v>252</v>
      </c>
      <c r="D148" s="157"/>
      <c r="E148" s="182">
        <v>10</v>
      </c>
      <c r="F148" s="406">
        <v>1.728</v>
      </c>
      <c r="G148" s="412">
        <f>IF(E148&lt;=30,(0.6*E148+1.25)*F148,((0.6*30+1.25)+0.5*(E148-30))*F148)</f>
        <v>12.528</v>
      </c>
      <c r="H148" s="465"/>
      <c r="I148" s="465" t="str">
        <f t="shared" si="48"/>
        <v/>
      </c>
      <c r="J148" s="407">
        <f t="shared" si="49"/>
        <v>0</v>
      </c>
      <c r="K148" s="394" t="s">
        <v>1029</v>
      </c>
      <c r="L148" s="212"/>
      <c r="M148" s="213"/>
      <c r="N148" s="402">
        <f t="shared" si="38"/>
        <v>0</v>
      </c>
      <c r="O148" s="402">
        <f t="shared" si="39"/>
        <v>0</v>
      </c>
      <c r="P148" s="403"/>
      <c r="Q148" s="212"/>
      <c r="R148" s="213"/>
      <c r="S148" s="402">
        <f t="shared" si="41"/>
        <v>0</v>
      </c>
      <c r="T148" s="404">
        <f t="shared" si="42"/>
        <v>0</v>
      </c>
      <c r="U148" s="403"/>
      <c r="V148" s="144" t="str">
        <f>IF(T146&gt;0,"xx",IF(O146&gt;0,"xy",""))</f>
        <v/>
      </c>
      <c r="W148" s="43" t="str">
        <f t="shared" si="29"/>
        <v/>
      </c>
      <c r="X148" s="43" t="str">
        <f t="shared" si="47"/>
        <v/>
      </c>
      <c r="Y148" s="43" t="str">
        <f t="shared" si="52"/>
        <v/>
      </c>
    </row>
    <row r="149" spans="1:25" hidden="1">
      <c r="A149" s="155">
        <v>542100</v>
      </c>
      <c r="B149" s="156" t="s">
        <v>242</v>
      </c>
      <c r="C149" s="411" t="s">
        <v>577</v>
      </c>
      <c r="D149" s="351">
        <v>1</v>
      </c>
      <c r="E149" s="182"/>
      <c r="F149" s="406"/>
      <c r="G149" s="158">
        <f>SUM(G150:G152)</f>
        <v>30.724179999999997</v>
      </c>
      <c r="H149" s="465">
        <v>35.69</v>
      </c>
      <c r="I149" s="465">
        <f t="shared" si="48"/>
        <v>66.414179999999988</v>
      </c>
      <c r="J149" s="407">
        <f t="shared" si="49"/>
        <v>84.21</v>
      </c>
      <c r="K149" s="408" t="s">
        <v>16</v>
      </c>
      <c r="L149" s="152"/>
      <c r="M149" s="152"/>
      <c r="N149" s="402">
        <f t="shared" si="38"/>
        <v>0</v>
      </c>
      <c r="O149" s="402">
        <f t="shared" si="39"/>
        <v>0</v>
      </c>
      <c r="P149" s="403"/>
      <c r="Q149" s="152">
        <f t="shared" si="51"/>
        <v>0</v>
      </c>
      <c r="R149" s="152">
        <f t="shared" si="51"/>
        <v>0</v>
      </c>
      <c r="S149" s="402">
        <f t="shared" si="41"/>
        <v>0</v>
      </c>
      <c r="T149" s="404">
        <f t="shared" si="42"/>
        <v>0</v>
      </c>
      <c r="U149" s="403"/>
      <c r="W149" s="43" t="str">
        <f t="shared" si="29"/>
        <v/>
      </c>
      <c r="X149" s="43" t="str">
        <f t="shared" si="47"/>
        <v/>
      </c>
      <c r="Y149" s="43" t="str">
        <f t="shared" si="52"/>
        <v/>
      </c>
    </row>
    <row r="150" spans="1:25" hidden="1">
      <c r="A150" s="155" t="s">
        <v>183</v>
      </c>
      <c r="B150" s="156"/>
      <c r="C150" s="348" t="s">
        <v>251</v>
      </c>
      <c r="D150" s="157"/>
      <c r="E150" s="405">
        <v>500</v>
      </c>
      <c r="F150" s="406">
        <v>3.6999999999999998E-2</v>
      </c>
      <c r="G150" s="158">
        <f>IF(E150&lt;=30,(0.42*E150+3.55)*F150,((0.42*30+3.55)+0.35*(E150-30))*F150)</f>
        <v>6.68405</v>
      </c>
      <c r="H150" s="465"/>
      <c r="I150" s="465" t="str">
        <f t="shared" si="48"/>
        <v/>
      </c>
      <c r="J150" s="407">
        <f t="shared" si="49"/>
        <v>0</v>
      </c>
      <c r="K150" s="394" t="s">
        <v>1029</v>
      </c>
      <c r="L150" s="212"/>
      <c r="M150" s="213"/>
      <c r="N150" s="402">
        <f t="shared" si="38"/>
        <v>0</v>
      </c>
      <c r="O150" s="402">
        <f t="shared" si="39"/>
        <v>0</v>
      </c>
      <c r="P150" s="403"/>
      <c r="Q150" s="212"/>
      <c r="R150" s="213"/>
      <c r="S150" s="402">
        <f t="shared" si="41"/>
        <v>0</v>
      </c>
      <c r="T150" s="404">
        <f t="shared" si="42"/>
        <v>0</v>
      </c>
      <c r="U150" s="403"/>
      <c r="V150" s="144" t="str">
        <f>IF(T149&gt;0,"xx",IF(O149&gt;0,"xy",""))</f>
        <v/>
      </c>
      <c r="W150" s="43" t="str">
        <f t="shared" si="29"/>
        <v/>
      </c>
      <c r="X150" s="43" t="str">
        <f t="shared" si="47"/>
        <v/>
      </c>
      <c r="Y150" s="43" t="str">
        <f t="shared" si="52"/>
        <v/>
      </c>
    </row>
    <row r="151" spans="1:25" hidden="1">
      <c r="A151" s="155" t="s">
        <v>183</v>
      </c>
      <c r="B151" s="156"/>
      <c r="C151" s="348" t="s">
        <v>252</v>
      </c>
      <c r="D151" s="157"/>
      <c r="E151" s="182">
        <v>10</v>
      </c>
      <c r="F151" s="406">
        <v>1.9</v>
      </c>
      <c r="G151" s="412">
        <f>IF(E151&lt;=30,(0.6*E151+1.25)*F151,((0.6*30+1.25)+0.5*(E151-30))*F151)</f>
        <v>13.774999999999999</v>
      </c>
      <c r="H151" s="465"/>
      <c r="I151" s="465" t="str">
        <f t="shared" si="48"/>
        <v/>
      </c>
      <c r="J151" s="407">
        <f t="shared" si="49"/>
        <v>0</v>
      </c>
      <c r="K151" s="394" t="s">
        <v>1029</v>
      </c>
      <c r="L151" s="212"/>
      <c r="M151" s="213"/>
      <c r="N151" s="402">
        <f t="shared" si="38"/>
        <v>0</v>
      </c>
      <c r="O151" s="402">
        <f t="shared" si="39"/>
        <v>0</v>
      </c>
      <c r="P151" s="403"/>
      <c r="Q151" s="212"/>
      <c r="R151" s="213"/>
      <c r="S151" s="402">
        <f t="shared" si="41"/>
        <v>0</v>
      </c>
      <c r="T151" s="404">
        <f t="shared" si="42"/>
        <v>0</v>
      </c>
      <c r="U151" s="403"/>
      <c r="V151" s="144" t="str">
        <f>IF(T149&gt;0,"xx",IF(O149&gt;0,"xy",""))</f>
        <v/>
      </c>
      <c r="W151" s="43" t="str">
        <f t="shared" ref="W151:W214" si="53">IF(V151="X","x",IF(V151="xx","x",IF(V151="xy","x",IF(V151="y","x",IF(OR(O151&gt;0,T151&gt;0),"x","")))))</f>
        <v/>
      </c>
      <c r="X151" s="43" t="str">
        <f t="shared" si="47"/>
        <v/>
      </c>
      <c r="Y151" s="43" t="str">
        <f t="shared" si="52"/>
        <v/>
      </c>
    </row>
    <row r="152" spans="1:25" hidden="1">
      <c r="A152" s="155" t="s">
        <v>183</v>
      </c>
      <c r="B152" s="156"/>
      <c r="C152" s="348" t="s">
        <v>253</v>
      </c>
      <c r="D152" s="157"/>
      <c r="E152" s="182">
        <v>5</v>
      </c>
      <c r="F152" s="406">
        <v>1.863</v>
      </c>
      <c r="G152" s="158">
        <f>IF(E152&lt;=30,(0.6*E152+2.51)*F152,((0.6*30+2.51)+0.5*(E152-30))*F152)</f>
        <v>10.265129999999999</v>
      </c>
      <c r="H152" s="465"/>
      <c r="I152" s="465" t="str">
        <f t="shared" si="48"/>
        <v/>
      </c>
      <c r="J152" s="407">
        <f t="shared" si="49"/>
        <v>0</v>
      </c>
      <c r="K152" s="394" t="s">
        <v>1029</v>
      </c>
      <c r="L152" s="212"/>
      <c r="M152" s="213"/>
      <c r="N152" s="402">
        <f t="shared" si="38"/>
        <v>0</v>
      </c>
      <c r="O152" s="402">
        <f t="shared" si="39"/>
        <v>0</v>
      </c>
      <c r="P152" s="403"/>
      <c r="Q152" s="212"/>
      <c r="R152" s="213"/>
      <c r="S152" s="402">
        <f t="shared" si="41"/>
        <v>0</v>
      </c>
      <c r="T152" s="404">
        <f t="shared" si="42"/>
        <v>0</v>
      </c>
      <c r="U152" s="403"/>
      <c r="V152" s="144" t="str">
        <f>IF($T$131&gt;0,"xx",IF($O$131&gt;0,"xy",""))</f>
        <v/>
      </c>
      <c r="W152" s="43" t="str">
        <f t="shared" si="53"/>
        <v/>
      </c>
      <c r="X152" s="43" t="str">
        <f t="shared" si="47"/>
        <v/>
      </c>
      <c r="Y152" s="43" t="str">
        <f t="shared" si="52"/>
        <v/>
      </c>
    </row>
    <row r="153" spans="1:25" hidden="1">
      <c r="A153" s="155">
        <v>543100</v>
      </c>
      <c r="B153" s="156" t="s">
        <v>242</v>
      </c>
      <c r="C153" s="411" t="s">
        <v>578</v>
      </c>
      <c r="D153" s="351">
        <v>1</v>
      </c>
      <c r="E153" s="182"/>
      <c r="F153" s="406"/>
      <c r="G153" s="158">
        <f>SUM(G154:G156)</f>
        <v>33.8767</v>
      </c>
      <c r="H153" s="465">
        <v>41.239999999999995</v>
      </c>
      <c r="I153" s="465">
        <f t="shared" si="48"/>
        <v>75.116699999999994</v>
      </c>
      <c r="J153" s="407">
        <f t="shared" si="49"/>
        <v>95.25</v>
      </c>
      <c r="K153" s="408" t="s">
        <v>16</v>
      </c>
      <c r="L153" s="152"/>
      <c r="M153" s="152"/>
      <c r="N153" s="402">
        <f t="shared" si="38"/>
        <v>0</v>
      </c>
      <c r="O153" s="402">
        <f t="shared" si="39"/>
        <v>0</v>
      </c>
      <c r="P153" s="403"/>
      <c r="Q153" s="152">
        <f t="shared" si="51"/>
        <v>0</v>
      </c>
      <c r="R153" s="152">
        <f t="shared" si="51"/>
        <v>0</v>
      </c>
      <c r="S153" s="402">
        <f t="shared" si="41"/>
        <v>0</v>
      </c>
      <c r="T153" s="404">
        <f t="shared" si="42"/>
        <v>0</v>
      </c>
      <c r="U153" s="403"/>
      <c r="W153" s="43" t="str">
        <f t="shared" si="53"/>
        <v/>
      </c>
      <c r="X153" s="43" t="str">
        <f t="shared" si="47"/>
        <v/>
      </c>
      <c r="Y153" s="43" t="str">
        <f t="shared" si="52"/>
        <v/>
      </c>
    </row>
    <row r="154" spans="1:25" hidden="1">
      <c r="A154" s="155" t="s">
        <v>183</v>
      </c>
      <c r="B154" s="156"/>
      <c r="C154" s="348" t="s">
        <v>251</v>
      </c>
      <c r="D154" s="157"/>
      <c r="E154" s="405">
        <v>500</v>
      </c>
      <c r="F154" s="406">
        <v>5.5E-2</v>
      </c>
      <c r="G154" s="158">
        <f>IF(E154&lt;=30,(0.42*E154+3.55)*F154,((0.42*30+3.55)+0.35*(E154-30))*F154)</f>
        <v>9.9357500000000005</v>
      </c>
      <c r="H154" s="465"/>
      <c r="I154" s="465" t="str">
        <f t="shared" si="48"/>
        <v/>
      </c>
      <c r="J154" s="407">
        <f t="shared" si="49"/>
        <v>0</v>
      </c>
      <c r="K154" s="394" t="s">
        <v>1029</v>
      </c>
      <c r="L154" s="212"/>
      <c r="M154" s="213"/>
      <c r="N154" s="402">
        <f t="shared" si="38"/>
        <v>0</v>
      </c>
      <c r="O154" s="402">
        <f t="shared" si="39"/>
        <v>0</v>
      </c>
      <c r="P154" s="403"/>
      <c r="Q154" s="212"/>
      <c r="R154" s="213"/>
      <c r="S154" s="402">
        <f t="shared" si="41"/>
        <v>0</v>
      </c>
      <c r="T154" s="404">
        <f t="shared" si="42"/>
        <v>0</v>
      </c>
      <c r="U154" s="403"/>
      <c r="V154" s="144" t="str">
        <f>IF(T153&gt;0,"xx",IF(O153&gt;0,"xy",""))</f>
        <v/>
      </c>
      <c r="W154" s="43" t="str">
        <f t="shared" si="53"/>
        <v/>
      </c>
      <c r="X154" s="43" t="str">
        <f t="shared" si="47"/>
        <v/>
      </c>
      <c r="Y154" s="43" t="str">
        <f t="shared" si="52"/>
        <v/>
      </c>
    </row>
    <row r="155" spans="1:25" hidden="1">
      <c r="A155" s="155" t="s">
        <v>183</v>
      </c>
      <c r="B155" s="156"/>
      <c r="C155" s="348" t="s">
        <v>252</v>
      </c>
      <c r="D155" s="157"/>
      <c r="E155" s="182">
        <v>10</v>
      </c>
      <c r="F155" s="406">
        <v>1.9</v>
      </c>
      <c r="G155" s="412">
        <f>IF(E155&lt;=30,(0.6*E155+1.25)*F155,((0.6*30+1.25)+0.5*(E155-30))*F155)</f>
        <v>13.774999999999999</v>
      </c>
      <c r="H155" s="465"/>
      <c r="I155" s="465" t="str">
        <f t="shared" si="48"/>
        <v/>
      </c>
      <c r="J155" s="407">
        <f t="shared" si="49"/>
        <v>0</v>
      </c>
      <c r="K155" s="394" t="s">
        <v>1029</v>
      </c>
      <c r="L155" s="212"/>
      <c r="M155" s="213"/>
      <c r="N155" s="402">
        <f t="shared" si="38"/>
        <v>0</v>
      </c>
      <c r="O155" s="402">
        <f t="shared" si="39"/>
        <v>0</v>
      </c>
      <c r="P155" s="403"/>
      <c r="Q155" s="212"/>
      <c r="R155" s="213"/>
      <c r="S155" s="402">
        <f t="shared" si="41"/>
        <v>0</v>
      </c>
      <c r="T155" s="404">
        <f t="shared" si="42"/>
        <v>0</v>
      </c>
      <c r="U155" s="403"/>
      <c r="V155" s="144" t="str">
        <f>IF(T153&gt;0,"xx",IF(O153&gt;0,"xy",""))</f>
        <v/>
      </c>
      <c r="W155" s="43" t="str">
        <f t="shared" si="53"/>
        <v/>
      </c>
      <c r="X155" s="43" t="str">
        <f t="shared" si="47"/>
        <v/>
      </c>
      <c r="Y155" s="43" t="str">
        <f t="shared" si="52"/>
        <v/>
      </c>
    </row>
    <row r="156" spans="1:25" hidden="1">
      <c r="A156" s="155" t="s">
        <v>183</v>
      </c>
      <c r="B156" s="156"/>
      <c r="C156" s="348" t="s">
        <v>253</v>
      </c>
      <c r="D156" s="157"/>
      <c r="E156" s="182">
        <v>5</v>
      </c>
      <c r="F156" s="406">
        <v>1.845</v>
      </c>
      <c r="G156" s="158">
        <f>IF(E156&lt;=30,(0.6*E156+2.51)*F156,((0.6*30+2.51)+0.5*(E156-30))*F156)</f>
        <v>10.165949999999999</v>
      </c>
      <c r="H156" s="465"/>
      <c r="I156" s="465" t="str">
        <f t="shared" si="48"/>
        <v/>
      </c>
      <c r="J156" s="407">
        <f t="shared" si="49"/>
        <v>0</v>
      </c>
      <c r="K156" s="394" t="s">
        <v>1029</v>
      </c>
      <c r="L156" s="212"/>
      <c r="M156" s="213"/>
      <c r="N156" s="402">
        <f t="shared" si="38"/>
        <v>0</v>
      </c>
      <c r="O156" s="402">
        <f t="shared" si="39"/>
        <v>0</v>
      </c>
      <c r="P156" s="403"/>
      <c r="Q156" s="212"/>
      <c r="R156" s="213"/>
      <c r="S156" s="402">
        <f t="shared" si="41"/>
        <v>0</v>
      </c>
      <c r="T156" s="404">
        <f t="shared" si="42"/>
        <v>0</v>
      </c>
      <c r="U156" s="403"/>
      <c r="V156" s="144" t="str">
        <f>IF($T$131&gt;0,"xx",IF($O$131&gt;0,"xy",""))</f>
        <v/>
      </c>
      <c r="W156" s="43" t="str">
        <f t="shared" si="53"/>
        <v/>
      </c>
      <c r="X156" s="43" t="str">
        <f t="shared" si="47"/>
        <v/>
      </c>
      <c r="Y156" s="43" t="str">
        <f t="shared" si="52"/>
        <v/>
      </c>
    </row>
    <row r="157" spans="1:25" hidden="1">
      <c r="A157" s="155">
        <v>544100</v>
      </c>
      <c r="B157" s="156" t="s">
        <v>242</v>
      </c>
      <c r="C157" s="411" t="s">
        <v>579</v>
      </c>
      <c r="D157" s="351">
        <v>1</v>
      </c>
      <c r="E157" s="182"/>
      <c r="F157" s="406"/>
      <c r="G157" s="158">
        <f>SUM(G158:G160)</f>
        <v>36.040939999999999</v>
      </c>
      <c r="H157" s="465">
        <v>41.85</v>
      </c>
      <c r="I157" s="465">
        <f t="shared" si="48"/>
        <v>77.890940000000001</v>
      </c>
      <c r="J157" s="407">
        <f t="shared" si="49"/>
        <v>98.77</v>
      </c>
      <c r="K157" s="408" t="s">
        <v>16</v>
      </c>
      <c r="L157" s="152"/>
      <c r="M157" s="152"/>
      <c r="N157" s="402">
        <f t="shared" si="38"/>
        <v>0</v>
      </c>
      <c r="O157" s="402">
        <f t="shared" si="39"/>
        <v>0</v>
      </c>
      <c r="P157" s="403"/>
      <c r="Q157" s="152">
        <f t="shared" si="51"/>
        <v>0</v>
      </c>
      <c r="R157" s="152">
        <f t="shared" si="51"/>
        <v>0</v>
      </c>
      <c r="S157" s="402">
        <f t="shared" si="41"/>
        <v>0</v>
      </c>
      <c r="T157" s="404">
        <f t="shared" si="42"/>
        <v>0</v>
      </c>
      <c r="U157" s="403"/>
      <c r="W157" s="43" t="str">
        <f t="shared" si="53"/>
        <v/>
      </c>
      <c r="X157" s="43" t="str">
        <f t="shared" si="47"/>
        <v/>
      </c>
      <c r="Y157" s="43" t="str">
        <f t="shared" si="52"/>
        <v/>
      </c>
    </row>
    <row r="158" spans="1:25" hidden="1">
      <c r="A158" s="155" t="s">
        <v>183</v>
      </c>
      <c r="B158" s="156"/>
      <c r="C158" s="348" t="s">
        <v>251</v>
      </c>
      <c r="D158" s="157"/>
      <c r="E158" s="405">
        <v>500</v>
      </c>
      <c r="F158" s="406">
        <v>7.0999999999999994E-2</v>
      </c>
      <c r="G158" s="158">
        <f>IF(E158&lt;=30,(0.42*E158+3.55)*F158,((0.42*30+3.55)+0.35*(E158-30))*F158)</f>
        <v>12.826149999999998</v>
      </c>
      <c r="H158" s="465"/>
      <c r="I158" s="465" t="str">
        <f t="shared" si="48"/>
        <v/>
      </c>
      <c r="J158" s="407">
        <f t="shared" si="49"/>
        <v>0</v>
      </c>
      <c r="K158" s="394" t="s">
        <v>1029</v>
      </c>
      <c r="L158" s="212"/>
      <c r="M158" s="213"/>
      <c r="N158" s="402">
        <f t="shared" si="38"/>
        <v>0</v>
      </c>
      <c r="O158" s="402">
        <f t="shared" si="39"/>
        <v>0</v>
      </c>
      <c r="P158" s="403"/>
      <c r="Q158" s="212"/>
      <c r="R158" s="213"/>
      <c r="S158" s="402">
        <f t="shared" si="41"/>
        <v>0</v>
      </c>
      <c r="T158" s="404">
        <f t="shared" si="42"/>
        <v>0</v>
      </c>
      <c r="U158" s="403"/>
      <c r="V158" s="144" t="str">
        <f>IF(T157&gt;0,"xx",IF(O157&gt;0,"xy",""))</f>
        <v/>
      </c>
      <c r="W158" s="43" t="str">
        <f t="shared" si="53"/>
        <v/>
      </c>
      <c r="X158" s="43" t="str">
        <f t="shared" si="47"/>
        <v/>
      </c>
      <c r="Y158" s="43" t="str">
        <f t="shared" si="52"/>
        <v/>
      </c>
    </row>
    <row r="159" spans="1:25" hidden="1">
      <c r="A159" s="155" t="s">
        <v>183</v>
      </c>
      <c r="B159" s="156"/>
      <c r="C159" s="348" t="s">
        <v>252</v>
      </c>
      <c r="D159" s="157"/>
      <c r="E159" s="182">
        <v>10</v>
      </c>
      <c r="F159" s="406">
        <v>1.85</v>
      </c>
      <c r="G159" s="412">
        <f>IF(E159&lt;=30,(0.6*E159+1.25)*F159,((0.6*30+1.25)+0.5*(E159-30))*F159)</f>
        <v>13.412500000000001</v>
      </c>
      <c r="H159" s="465"/>
      <c r="I159" s="465" t="str">
        <f t="shared" si="48"/>
        <v/>
      </c>
      <c r="J159" s="407">
        <f t="shared" si="49"/>
        <v>0</v>
      </c>
      <c r="K159" s="394" t="s">
        <v>1029</v>
      </c>
      <c r="L159" s="212"/>
      <c r="M159" s="213"/>
      <c r="N159" s="402">
        <f t="shared" si="38"/>
        <v>0</v>
      </c>
      <c r="O159" s="402">
        <f t="shared" si="39"/>
        <v>0</v>
      </c>
      <c r="P159" s="403"/>
      <c r="Q159" s="212"/>
      <c r="R159" s="213"/>
      <c r="S159" s="402">
        <f t="shared" si="41"/>
        <v>0</v>
      </c>
      <c r="T159" s="404">
        <f t="shared" si="42"/>
        <v>0</v>
      </c>
      <c r="U159" s="403"/>
      <c r="V159" s="144" t="str">
        <f>IF(T157&gt;0,"xx",IF(O157&gt;0,"xy",""))</f>
        <v/>
      </c>
      <c r="W159" s="43" t="str">
        <f t="shared" si="53"/>
        <v/>
      </c>
      <c r="X159" s="43" t="str">
        <f t="shared" si="47"/>
        <v/>
      </c>
      <c r="Y159" s="43" t="str">
        <f t="shared" si="52"/>
        <v/>
      </c>
    </row>
    <row r="160" spans="1:25" hidden="1">
      <c r="A160" s="155" t="s">
        <v>183</v>
      </c>
      <c r="B160" s="156"/>
      <c r="C160" s="348" t="s">
        <v>253</v>
      </c>
      <c r="D160" s="157"/>
      <c r="E160" s="182">
        <v>5</v>
      </c>
      <c r="F160" s="406">
        <v>1.7789999999999999</v>
      </c>
      <c r="G160" s="158">
        <f>IF(E160&lt;=30,(0.6*E160+2.51)*F160,((0.6*30+2.51)+0.5*(E160-30))*F160)</f>
        <v>9.8022899999999993</v>
      </c>
      <c r="H160" s="465"/>
      <c r="I160" s="465" t="str">
        <f t="shared" si="48"/>
        <v/>
      </c>
      <c r="J160" s="407">
        <f t="shared" si="49"/>
        <v>0</v>
      </c>
      <c r="K160" s="394" t="s">
        <v>1029</v>
      </c>
      <c r="L160" s="212"/>
      <c r="M160" s="213"/>
      <c r="N160" s="402">
        <f t="shared" si="38"/>
        <v>0</v>
      </c>
      <c r="O160" s="402">
        <f t="shared" si="39"/>
        <v>0</v>
      </c>
      <c r="P160" s="403"/>
      <c r="Q160" s="212"/>
      <c r="R160" s="213"/>
      <c r="S160" s="402">
        <f t="shared" si="41"/>
        <v>0</v>
      </c>
      <c r="T160" s="404">
        <f t="shared" si="42"/>
        <v>0</v>
      </c>
      <c r="U160" s="403"/>
      <c r="V160" s="144" t="str">
        <f>IF($T$131&gt;0,"xx",IF($O$131&gt;0,"xy",""))</f>
        <v/>
      </c>
      <c r="W160" s="43" t="str">
        <f t="shared" si="53"/>
        <v/>
      </c>
      <c r="X160" s="43" t="str">
        <f t="shared" si="47"/>
        <v/>
      </c>
      <c r="Y160" s="43" t="str">
        <f t="shared" si="52"/>
        <v/>
      </c>
    </row>
    <row r="161" spans="1:25" hidden="1">
      <c r="A161" s="155">
        <v>545100</v>
      </c>
      <c r="B161" s="156" t="s">
        <v>242</v>
      </c>
      <c r="C161" s="411" t="s">
        <v>580</v>
      </c>
      <c r="D161" s="351">
        <v>1</v>
      </c>
      <c r="E161" s="182"/>
      <c r="F161" s="406"/>
      <c r="G161" s="158">
        <f>SUM(G162:G164)</f>
        <v>39.018320000000003</v>
      </c>
      <c r="H161" s="465">
        <v>47.09</v>
      </c>
      <c r="I161" s="465">
        <f t="shared" si="48"/>
        <v>86.108320000000006</v>
      </c>
      <c r="J161" s="407">
        <f t="shared" si="49"/>
        <v>109.19</v>
      </c>
      <c r="K161" s="408" t="s">
        <v>16</v>
      </c>
      <c r="L161" s="152"/>
      <c r="M161" s="152"/>
      <c r="N161" s="402">
        <f t="shared" si="38"/>
        <v>0</v>
      </c>
      <c r="O161" s="402">
        <f t="shared" si="39"/>
        <v>0</v>
      </c>
      <c r="P161" s="403"/>
      <c r="Q161" s="152">
        <f t="shared" si="51"/>
        <v>0</v>
      </c>
      <c r="R161" s="152">
        <f t="shared" si="51"/>
        <v>0</v>
      </c>
      <c r="S161" s="402">
        <f t="shared" si="41"/>
        <v>0</v>
      </c>
      <c r="T161" s="404">
        <f t="shared" si="42"/>
        <v>0</v>
      </c>
      <c r="U161" s="403"/>
      <c r="W161" s="43" t="str">
        <f t="shared" si="53"/>
        <v/>
      </c>
      <c r="X161" s="43" t="str">
        <f t="shared" si="47"/>
        <v/>
      </c>
      <c r="Y161" s="43" t="str">
        <f t="shared" si="52"/>
        <v/>
      </c>
    </row>
    <row r="162" spans="1:25" hidden="1">
      <c r="A162" s="155" t="s">
        <v>183</v>
      </c>
      <c r="B162" s="156"/>
      <c r="C162" s="348" t="s">
        <v>251</v>
      </c>
      <c r="D162" s="157"/>
      <c r="E162" s="405">
        <v>500</v>
      </c>
      <c r="F162" s="406">
        <v>8.7999999999999995E-2</v>
      </c>
      <c r="G162" s="158">
        <f>IF(E162&lt;=30,(0.42*E162+3.55)*F162,((0.42*30+3.55)+0.35*(E162-30))*F162)</f>
        <v>15.8972</v>
      </c>
      <c r="H162" s="465"/>
      <c r="I162" s="465" t="str">
        <f t="shared" si="48"/>
        <v/>
      </c>
      <c r="J162" s="407">
        <f t="shared" si="49"/>
        <v>0</v>
      </c>
      <c r="K162" s="394" t="s">
        <v>1029</v>
      </c>
      <c r="L162" s="212"/>
      <c r="M162" s="213"/>
      <c r="N162" s="402">
        <f t="shared" si="38"/>
        <v>0</v>
      </c>
      <c r="O162" s="402">
        <f t="shared" si="39"/>
        <v>0</v>
      </c>
      <c r="P162" s="403"/>
      <c r="Q162" s="212"/>
      <c r="R162" s="213"/>
      <c r="S162" s="402">
        <f t="shared" si="41"/>
        <v>0</v>
      </c>
      <c r="T162" s="404">
        <f t="shared" si="42"/>
        <v>0</v>
      </c>
      <c r="U162" s="403"/>
      <c r="V162" s="144" t="str">
        <f>IF(T161&gt;0,"xx",IF(O161&gt;0,"xy",""))</f>
        <v/>
      </c>
      <c r="W162" s="43" t="str">
        <f t="shared" si="53"/>
        <v/>
      </c>
      <c r="X162" s="43" t="str">
        <f t="shared" si="47"/>
        <v/>
      </c>
      <c r="Y162" s="43" t="str">
        <f t="shared" si="52"/>
        <v/>
      </c>
    </row>
    <row r="163" spans="1:25" hidden="1">
      <c r="A163" s="155" t="s">
        <v>183</v>
      </c>
      <c r="B163" s="156"/>
      <c r="C163" s="348" t="s">
        <v>252</v>
      </c>
      <c r="D163" s="157"/>
      <c r="E163" s="182">
        <v>10</v>
      </c>
      <c r="F163" s="406">
        <v>1.85</v>
      </c>
      <c r="G163" s="412">
        <f>IF(E163&lt;=30,(0.6*E163+1.25)*F163,((0.6*30+1.25)+0.5*(E163-30))*F163)</f>
        <v>13.412500000000001</v>
      </c>
      <c r="H163" s="465"/>
      <c r="I163" s="465" t="str">
        <f t="shared" si="48"/>
        <v/>
      </c>
      <c r="J163" s="407">
        <f t="shared" si="49"/>
        <v>0</v>
      </c>
      <c r="K163" s="394" t="s">
        <v>1029</v>
      </c>
      <c r="L163" s="212"/>
      <c r="M163" s="213"/>
      <c r="N163" s="402">
        <f t="shared" si="38"/>
        <v>0</v>
      </c>
      <c r="O163" s="402">
        <f t="shared" si="39"/>
        <v>0</v>
      </c>
      <c r="P163" s="403"/>
      <c r="Q163" s="212"/>
      <c r="R163" s="213"/>
      <c r="S163" s="402">
        <f t="shared" si="41"/>
        <v>0</v>
      </c>
      <c r="T163" s="404">
        <f t="shared" si="42"/>
        <v>0</v>
      </c>
      <c r="U163" s="403"/>
      <c r="V163" s="144" t="str">
        <f>IF(T161&gt;0,"xx",IF(O161&gt;0,"xy",""))</f>
        <v/>
      </c>
      <c r="W163" s="43" t="str">
        <f t="shared" si="53"/>
        <v/>
      </c>
      <c r="X163" s="43" t="str">
        <f t="shared" si="47"/>
        <v/>
      </c>
      <c r="Y163" s="43" t="str">
        <f t="shared" si="52"/>
        <v/>
      </c>
    </row>
    <row r="164" spans="1:25" hidden="1">
      <c r="A164" s="155" t="s">
        <v>183</v>
      </c>
      <c r="B164" s="156"/>
      <c r="C164" s="348" t="s">
        <v>253</v>
      </c>
      <c r="D164" s="157"/>
      <c r="E164" s="182">
        <v>5</v>
      </c>
      <c r="F164" s="406">
        <v>1.762</v>
      </c>
      <c r="G164" s="158">
        <f>IF(E164&lt;=30,(0.6*E164+2.51)*F164,((0.6*30+2.51)+0.5*(E164-30))*F164)</f>
        <v>9.7086199999999998</v>
      </c>
      <c r="H164" s="465"/>
      <c r="I164" s="465" t="str">
        <f t="shared" si="48"/>
        <v/>
      </c>
      <c r="J164" s="407">
        <f t="shared" si="49"/>
        <v>0</v>
      </c>
      <c r="K164" s="394" t="s">
        <v>1029</v>
      </c>
      <c r="L164" s="212"/>
      <c r="M164" s="213"/>
      <c r="N164" s="402">
        <f t="shared" si="38"/>
        <v>0</v>
      </c>
      <c r="O164" s="402">
        <f t="shared" si="39"/>
        <v>0</v>
      </c>
      <c r="P164" s="403"/>
      <c r="Q164" s="212"/>
      <c r="R164" s="213"/>
      <c r="S164" s="402">
        <f t="shared" si="41"/>
        <v>0</v>
      </c>
      <c r="T164" s="404">
        <f t="shared" si="42"/>
        <v>0</v>
      </c>
      <c r="U164" s="403"/>
      <c r="V164" s="144" t="str">
        <f>IF($T$131&gt;0,"xx",IF($O$131&gt;0,"xy",""))</f>
        <v/>
      </c>
      <c r="W164" s="43" t="str">
        <f t="shared" si="53"/>
        <v/>
      </c>
      <c r="X164" s="43" t="str">
        <f t="shared" si="47"/>
        <v/>
      </c>
      <c r="Y164" s="43" t="str">
        <f t="shared" si="52"/>
        <v/>
      </c>
    </row>
    <row r="165" spans="1:25" hidden="1">
      <c r="A165" s="155">
        <v>546100</v>
      </c>
      <c r="B165" s="156" t="s">
        <v>242</v>
      </c>
      <c r="C165" s="411" t="s">
        <v>581</v>
      </c>
      <c r="D165" s="351">
        <v>1</v>
      </c>
      <c r="E165" s="182"/>
      <c r="F165" s="406"/>
      <c r="G165" s="158">
        <f>SUM(G166:G168)</f>
        <v>41.995700000000006</v>
      </c>
      <c r="H165" s="465">
        <v>52.33</v>
      </c>
      <c r="I165" s="465">
        <f t="shared" si="48"/>
        <v>94.325700000000012</v>
      </c>
      <c r="J165" s="407">
        <f t="shared" si="49"/>
        <v>119.6</v>
      </c>
      <c r="K165" s="408" t="s">
        <v>16</v>
      </c>
      <c r="L165" s="152"/>
      <c r="M165" s="152"/>
      <c r="N165" s="402">
        <f t="shared" si="38"/>
        <v>0</v>
      </c>
      <c r="O165" s="402">
        <f t="shared" si="39"/>
        <v>0</v>
      </c>
      <c r="P165" s="403"/>
      <c r="Q165" s="152">
        <f t="shared" ref="Q165:R259" si="54">L165</f>
        <v>0</v>
      </c>
      <c r="R165" s="152">
        <f t="shared" si="54"/>
        <v>0</v>
      </c>
      <c r="S165" s="402">
        <f t="shared" si="41"/>
        <v>0</v>
      </c>
      <c r="T165" s="404">
        <f t="shared" si="42"/>
        <v>0</v>
      </c>
      <c r="U165" s="403"/>
      <c r="W165" s="43" t="str">
        <f t="shared" si="53"/>
        <v/>
      </c>
      <c r="X165" s="43" t="str">
        <f t="shared" si="47"/>
        <v/>
      </c>
      <c r="Y165" s="43" t="str">
        <f t="shared" si="52"/>
        <v/>
      </c>
    </row>
    <row r="166" spans="1:25" hidden="1">
      <c r="A166" s="155" t="s">
        <v>183</v>
      </c>
      <c r="B166" s="156"/>
      <c r="C166" s="348" t="s">
        <v>251</v>
      </c>
      <c r="D166" s="157"/>
      <c r="E166" s="405">
        <v>500</v>
      </c>
      <c r="F166" s="406">
        <v>0.105</v>
      </c>
      <c r="G166" s="158">
        <f>IF(E166&lt;=30,(0.42*E166+3.55)*F166,((0.42*30+3.55)+0.35*(E166-30))*F166)</f>
        <v>18.968250000000001</v>
      </c>
      <c r="H166" s="465"/>
      <c r="I166" s="465" t="str">
        <f t="shared" si="48"/>
        <v/>
      </c>
      <c r="J166" s="407">
        <f t="shared" si="49"/>
        <v>0</v>
      </c>
      <c r="K166" s="394" t="s">
        <v>1029</v>
      </c>
      <c r="L166" s="212"/>
      <c r="M166" s="213"/>
      <c r="N166" s="402">
        <f t="shared" si="38"/>
        <v>0</v>
      </c>
      <c r="O166" s="402">
        <f t="shared" si="39"/>
        <v>0</v>
      </c>
      <c r="P166" s="403"/>
      <c r="Q166" s="212"/>
      <c r="R166" s="213"/>
      <c r="S166" s="402">
        <f t="shared" si="41"/>
        <v>0</v>
      </c>
      <c r="T166" s="404">
        <f t="shared" si="42"/>
        <v>0</v>
      </c>
      <c r="U166" s="403"/>
      <c r="V166" s="144" t="str">
        <f>IF(T165&gt;0,"xx",IF(O165&gt;0,"xy",""))</f>
        <v/>
      </c>
      <c r="W166" s="43" t="str">
        <f t="shared" si="53"/>
        <v/>
      </c>
      <c r="X166" s="43" t="str">
        <f t="shared" si="47"/>
        <v/>
      </c>
      <c r="Y166" s="43" t="str">
        <f t="shared" si="52"/>
        <v/>
      </c>
    </row>
    <row r="167" spans="1:25" hidden="1">
      <c r="A167" s="155" t="s">
        <v>183</v>
      </c>
      <c r="B167" s="156"/>
      <c r="C167" s="348" t="s">
        <v>252</v>
      </c>
      <c r="D167" s="157"/>
      <c r="E167" s="182">
        <v>10</v>
      </c>
      <c r="F167" s="406">
        <v>1.85</v>
      </c>
      <c r="G167" s="412">
        <f>IF(E167&lt;=30,(0.6*E167+1.25)*F167,((0.6*30+1.25)+0.5*(E167-30))*F167)</f>
        <v>13.412500000000001</v>
      </c>
      <c r="H167" s="465"/>
      <c r="I167" s="465" t="str">
        <f t="shared" si="48"/>
        <v/>
      </c>
      <c r="J167" s="407">
        <f t="shared" si="49"/>
        <v>0</v>
      </c>
      <c r="K167" s="394" t="s">
        <v>1029</v>
      </c>
      <c r="L167" s="212"/>
      <c r="M167" s="213"/>
      <c r="N167" s="402">
        <f t="shared" si="38"/>
        <v>0</v>
      </c>
      <c r="O167" s="402">
        <f t="shared" si="39"/>
        <v>0</v>
      </c>
      <c r="P167" s="403"/>
      <c r="Q167" s="212"/>
      <c r="R167" s="213"/>
      <c r="S167" s="402">
        <f t="shared" si="41"/>
        <v>0</v>
      </c>
      <c r="T167" s="404">
        <f t="shared" si="42"/>
        <v>0</v>
      </c>
      <c r="U167" s="403"/>
      <c r="V167" s="144" t="str">
        <f>IF(T165&gt;0,"xx",IF(O165&gt;0,"xy",""))</f>
        <v/>
      </c>
      <c r="W167" s="43" t="str">
        <f t="shared" si="53"/>
        <v/>
      </c>
      <c r="X167" s="43" t="str">
        <f t="shared" si="47"/>
        <v/>
      </c>
      <c r="Y167" s="43" t="str">
        <f t="shared" si="52"/>
        <v/>
      </c>
    </row>
    <row r="168" spans="1:25" hidden="1">
      <c r="A168" s="155" t="s">
        <v>183</v>
      </c>
      <c r="B168" s="156"/>
      <c r="C168" s="348" t="s">
        <v>253</v>
      </c>
      <c r="D168" s="157"/>
      <c r="E168" s="182">
        <v>5</v>
      </c>
      <c r="F168" s="406">
        <v>1.7450000000000001</v>
      </c>
      <c r="G168" s="158">
        <f>IF(E168&lt;=30,(0.6*E168+2.51)*F168,((0.6*30+2.51)+0.5*(E168-30))*F168)</f>
        <v>9.6149500000000003</v>
      </c>
      <c r="H168" s="465"/>
      <c r="I168" s="465" t="str">
        <f t="shared" si="48"/>
        <v/>
      </c>
      <c r="J168" s="407">
        <f t="shared" si="49"/>
        <v>0</v>
      </c>
      <c r="K168" s="394" t="s">
        <v>1029</v>
      </c>
      <c r="L168" s="212"/>
      <c r="M168" s="213"/>
      <c r="N168" s="402">
        <f t="shared" si="38"/>
        <v>0</v>
      </c>
      <c r="O168" s="402">
        <f t="shared" si="39"/>
        <v>0</v>
      </c>
      <c r="P168" s="403"/>
      <c r="Q168" s="212"/>
      <c r="R168" s="213"/>
      <c r="S168" s="402">
        <f t="shared" si="41"/>
        <v>0</v>
      </c>
      <c r="T168" s="404">
        <f t="shared" si="42"/>
        <v>0</v>
      </c>
      <c r="U168" s="403"/>
      <c r="V168" s="144" t="str">
        <f>IF($T$131&gt;0,"xx",IF($O$131&gt;0,"xy",""))</f>
        <v/>
      </c>
      <c r="W168" s="43" t="str">
        <f t="shared" si="53"/>
        <v/>
      </c>
      <c r="X168" s="43" t="str">
        <f t="shared" si="47"/>
        <v/>
      </c>
      <c r="Y168" s="43" t="str">
        <f t="shared" si="52"/>
        <v/>
      </c>
    </row>
    <row r="169" spans="1:25" hidden="1">
      <c r="A169" s="155">
        <v>547100</v>
      </c>
      <c r="B169" s="156" t="s">
        <v>242</v>
      </c>
      <c r="C169" s="411" t="s">
        <v>582</v>
      </c>
      <c r="D169" s="351">
        <v>1</v>
      </c>
      <c r="E169" s="182"/>
      <c r="F169" s="406"/>
      <c r="G169" s="158">
        <f>SUM(G170:G172)</f>
        <v>44.792430000000003</v>
      </c>
      <c r="H169" s="465">
        <v>57.26</v>
      </c>
      <c r="I169" s="465">
        <f t="shared" si="48"/>
        <v>102.05243</v>
      </c>
      <c r="J169" s="407">
        <f t="shared" si="49"/>
        <v>129.4</v>
      </c>
      <c r="K169" s="408" t="s">
        <v>16</v>
      </c>
      <c r="L169" s="152"/>
      <c r="M169" s="152"/>
      <c r="N169" s="402">
        <f t="shared" si="38"/>
        <v>0</v>
      </c>
      <c r="O169" s="402">
        <f t="shared" si="39"/>
        <v>0</v>
      </c>
      <c r="P169" s="403"/>
      <c r="Q169" s="152">
        <f t="shared" si="54"/>
        <v>0</v>
      </c>
      <c r="R169" s="152">
        <f t="shared" si="54"/>
        <v>0</v>
      </c>
      <c r="S169" s="402">
        <f t="shared" si="41"/>
        <v>0</v>
      </c>
      <c r="T169" s="404">
        <f t="shared" si="42"/>
        <v>0</v>
      </c>
      <c r="U169" s="403"/>
      <c r="W169" s="43" t="str">
        <f t="shared" si="53"/>
        <v/>
      </c>
      <c r="X169" s="43" t="str">
        <f t="shared" si="47"/>
        <v/>
      </c>
      <c r="Y169" s="43" t="str">
        <f t="shared" si="52"/>
        <v/>
      </c>
    </row>
    <row r="170" spans="1:25" hidden="1">
      <c r="A170" s="155" t="s">
        <v>183</v>
      </c>
      <c r="B170" s="156"/>
      <c r="C170" s="348" t="s">
        <v>251</v>
      </c>
      <c r="D170" s="157"/>
      <c r="E170" s="405">
        <v>500</v>
      </c>
      <c r="F170" s="406">
        <v>0.121</v>
      </c>
      <c r="G170" s="158">
        <f>IF(E170&lt;=30,(0.42*E170+3.55)*F170,((0.42*30+3.55)+0.35*(E170-30))*F170)</f>
        <v>21.858650000000001</v>
      </c>
      <c r="H170" s="465"/>
      <c r="I170" s="465" t="str">
        <f t="shared" si="48"/>
        <v/>
      </c>
      <c r="J170" s="407">
        <f t="shared" si="49"/>
        <v>0</v>
      </c>
      <c r="K170" s="394" t="s">
        <v>1029</v>
      </c>
      <c r="L170" s="212"/>
      <c r="M170" s="213"/>
      <c r="N170" s="402">
        <f t="shared" si="38"/>
        <v>0</v>
      </c>
      <c r="O170" s="402">
        <f t="shared" si="39"/>
        <v>0</v>
      </c>
      <c r="P170" s="403"/>
      <c r="Q170" s="212"/>
      <c r="R170" s="213"/>
      <c r="S170" s="402">
        <f t="shared" si="41"/>
        <v>0</v>
      </c>
      <c r="T170" s="404">
        <f t="shared" si="42"/>
        <v>0</v>
      </c>
      <c r="U170" s="403"/>
      <c r="V170" s="144" t="str">
        <f>IF(T169&gt;0,"xx",IF(O169&gt;0,"xy",""))</f>
        <v/>
      </c>
      <c r="W170" s="43" t="str">
        <f t="shared" si="53"/>
        <v/>
      </c>
      <c r="X170" s="43" t="str">
        <f t="shared" si="47"/>
        <v/>
      </c>
      <c r="Y170" s="43" t="str">
        <f t="shared" si="52"/>
        <v/>
      </c>
    </row>
    <row r="171" spans="1:25" hidden="1">
      <c r="A171" s="155" t="s">
        <v>183</v>
      </c>
      <c r="B171" s="156"/>
      <c r="C171" s="348" t="s">
        <v>252</v>
      </c>
      <c r="D171" s="157"/>
      <c r="E171" s="182">
        <v>10</v>
      </c>
      <c r="F171" s="406">
        <v>1.85</v>
      </c>
      <c r="G171" s="412">
        <f>IF(E171&lt;=30,(0.6*E171+1.25)*F171,((0.6*30+1.25)+0.5*(E171-30))*F171)</f>
        <v>13.412500000000001</v>
      </c>
      <c r="H171" s="465"/>
      <c r="I171" s="465" t="str">
        <f t="shared" si="48"/>
        <v/>
      </c>
      <c r="J171" s="407">
        <f t="shared" si="49"/>
        <v>0</v>
      </c>
      <c r="K171" s="394" t="s">
        <v>1029</v>
      </c>
      <c r="L171" s="212"/>
      <c r="M171" s="213"/>
      <c r="N171" s="402">
        <f t="shared" si="38"/>
        <v>0</v>
      </c>
      <c r="O171" s="402">
        <f t="shared" si="39"/>
        <v>0</v>
      </c>
      <c r="P171" s="403"/>
      <c r="Q171" s="212"/>
      <c r="R171" s="213"/>
      <c r="S171" s="402">
        <f t="shared" si="41"/>
        <v>0</v>
      </c>
      <c r="T171" s="404">
        <f t="shared" si="42"/>
        <v>0</v>
      </c>
      <c r="U171" s="403"/>
      <c r="V171" s="144" t="str">
        <f>IF(T169&gt;0,"xx",IF(O169&gt;0,"xy",""))</f>
        <v/>
      </c>
      <c r="W171" s="43" t="str">
        <f t="shared" si="53"/>
        <v/>
      </c>
      <c r="X171" s="43" t="str">
        <f t="shared" si="47"/>
        <v/>
      </c>
      <c r="Y171" s="43" t="str">
        <f t="shared" si="52"/>
        <v/>
      </c>
    </row>
    <row r="172" spans="1:25" hidden="1">
      <c r="A172" s="155" t="s">
        <v>183</v>
      </c>
      <c r="B172" s="156"/>
      <c r="C172" s="348" t="s">
        <v>253</v>
      </c>
      <c r="D172" s="157"/>
      <c r="E172" s="182">
        <v>5</v>
      </c>
      <c r="F172" s="406">
        <v>1.728</v>
      </c>
      <c r="G172" s="158">
        <f>IF(E172&lt;=30,(0.6*E172+2.51)*F172,((0.6*30+2.51)+0.5*(E172-30))*F172)</f>
        <v>9.5212799999999991</v>
      </c>
      <c r="H172" s="465"/>
      <c r="I172" s="465" t="str">
        <f t="shared" si="48"/>
        <v/>
      </c>
      <c r="J172" s="407">
        <f t="shared" si="49"/>
        <v>0</v>
      </c>
      <c r="K172" s="394" t="s">
        <v>1029</v>
      </c>
      <c r="L172" s="212"/>
      <c r="M172" s="213"/>
      <c r="N172" s="402">
        <f t="shared" si="38"/>
        <v>0</v>
      </c>
      <c r="O172" s="402">
        <f t="shared" si="39"/>
        <v>0</v>
      </c>
      <c r="P172" s="403"/>
      <c r="Q172" s="212"/>
      <c r="R172" s="213"/>
      <c r="S172" s="402">
        <f t="shared" si="41"/>
        <v>0</v>
      </c>
      <c r="T172" s="404">
        <f t="shared" si="42"/>
        <v>0</v>
      </c>
      <c r="U172" s="403"/>
      <c r="V172" s="144" t="str">
        <f>IF($T$131&gt;0,"xx",IF($O$131&gt;0,"xy",""))</f>
        <v/>
      </c>
      <c r="W172" s="43" t="str">
        <f t="shared" si="53"/>
        <v/>
      </c>
      <c r="X172" s="43" t="str">
        <f t="shared" si="47"/>
        <v/>
      </c>
      <c r="Y172" s="43" t="str">
        <f t="shared" si="52"/>
        <v/>
      </c>
    </row>
    <row r="173" spans="1:25" hidden="1">
      <c r="A173" s="155">
        <v>530200</v>
      </c>
      <c r="B173" s="156" t="s">
        <v>242</v>
      </c>
      <c r="C173" s="411" t="s">
        <v>254</v>
      </c>
      <c r="D173" s="351">
        <v>1</v>
      </c>
      <c r="E173" s="182">
        <v>20</v>
      </c>
      <c r="F173" s="161">
        <v>2.2000000000000002</v>
      </c>
      <c r="G173" s="412">
        <f>IF(E173&lt;=30,(0.6*E173+1.25)*F173,((0.6*30+1.25)+0.5*(E173-30))*F173)</f>
        <v>29.150000000000002</v>
      </c>
      <c r="H173" s="465">
        <v>66.12</v>
      </c>
      <c r="I173" s="465">
        <f t="shared" ref="I173" si="55">IF(ISBLANK(H173),"",SUM(G173:H173))*0.85</f>
        <v>80.979500000000002</v>
      </c>
      <c r="J173" s="407">
        <f t="shared" si="49"/>
        <v>102.68</v>
      </c>
      <c r="K173" s="408" t="s">
        <v>16</v>
      </c>
      <c r="L173" s="152"/>
      <c r="M173" s="152"/>
      <c r="N173" s="402">
        <f t="shared" si="38"/>
        <v>0</v>
      </c>
      <c r="O173" s="402">
        <f t="shared" si="39"/>
        <v>0</v>
      </c>
      <c r="P173" s="403"/>
      <c r="Q173" s="152">
        <f t="shared" ref="Q173:R174" si="56">L173</f>
        <v>0</v>
      </c>
      <c r="R173" s="152">
        <f t="shared" si="56"/>
        <v>0</v>
      </c>
      <c r="S173" s="402">
        <f t="shared" si="41"/>
        <v>0</v>
      </c>
      <c r="T173" s="404">
        <f t="shared" si="42"/>
        <v>0</v>
      </c>
      <c r="U173" s="403"/>
      <c r="W173" s="43" t="str">
        <f t="shared" si="53"/>
        <v/>
      </c>
      <c r="X173" s="43" t="str">
        <f t="shared" si="47"/>
        <v/>
      </c>
      <c r="Y173" s="43" t="str">
        <f t="shared" si="52"/>
        <v/>
      </c>
    </row>
    <row r="174" spans="1:25" hidden="1">
      <c r="A174" s="155" t="s">
        <v>622</v>
      </c>
      <c r="B174" s="156" t="s">
        <v>626</v>
      </c>
      <c r="C174" s="411" t="s">
        <v>627</v>
      </c>
      <c r="D174" s="351">
        <v>1</v>
      </c>
      <c r="E174" s="182">
        <v>20</v>
      </c>
      <c r="F174" s="161">
        <v>1.95</v>
      </c>
      <c r="G174" s="412">
        <f>IF(E174&lt;=30,(0.6*E174+1.25)*F174,((0.6*30+1.25)+0.5*(E174-30))*F174)</f>
        <v>25.837499999999999</v>
      </c>
      <c r="H174" s="465">
        <v>56.907692307692301</v>
      </c>
      <c r="I174" s="465">
        <f>IF(ISBLANK(H174),"",SUM(G174:H174))</f>
        <v>82.745192307692292</v>
      </c>
      <c r="J174" s="407">
        <f t="shared" si="49"/>
        <v>104.92</v>
      </c>
      <c r="K174" s="408" t="s">
        <v>16</v>
      </c>
      <c r="L174" s="152"/>
      <c r="M174" s="152"/>
      <c r="N174" s="402">
        <f t="shared" si="38"/>
        <v>0</v>
      </c>
      <c r="O174" s="402">
        <f t="shared" si="39"/>
        <v>0</v>
      </c>
      <c r="P174" s="403"/>
      <c r="Q174" s="152">
        <f t="shared" si="56"/>
        <v>0</v>
      </c>
      <c r="R174" s="152">
        <f t="shared" si="56"/>
        <v>0</v>
      </c>
      <c r="S174" s="402">
        <f t="shared" si="41"/>
        <v>0</v>
      </c>
      <c r="T174" s="404">
        <f t="shared" si="42"/>
        <v>0</v>
      </c>
      <c r="U174" s="403"/>
      <c r="W174" s="43" t="str">
        <f t="shared" si="53"/>
        <v/>
      </c>
      <c r="X174" s="43" t="str">
        <f t="shared" si="47"/>
        <v/>
      </c>
      <c r="Y174" s="43" t="str">
        <f t="shared" si="52"/>
        <v/>
      </c>
    </row>
    <row r="175" spans="1:25" hidden="1">
      <c r="A175" s="155" t="s">
        <v>623</v>
      </c>
      <c r="B175" s="156" t="s">
        <v>626</v>
      </c>
      <c r="C175" s="411" t="s">
        <v>628</v>
      </c>
      <c r="D175" s="351">
        <v>1</v>
      </c>
      <c r="E175" s="182">
        <v>20</v>
      </c>
      <c r="F175" s="161">
        <v>2.1</v>
      </c>
      <c r="G175" s="412">
        <f>IF(E175&lt;=30,(0.6*E175+1.25)*F175,((0.6*30+1.25)+0.5*(E175-30))*F175)</f>
        <v>27.825000000000003</v>
      </c>
      <c r="H175" s="465">
        <v>61.99384615384615</v>
      </c>
      <c r="I175" s="465">
        <f>IF(ISBLANK(H175),"",SUM(G175:H175))</f>
        <v>89.818846153846152</v>
      </c>
      <c r="J175" s="407">
        <f t="shared" si="49"/>
        <v>113.89</v>
      </c>
      <c r="K175" s="408" t="s">
        <v>16</v>
      </c>
      <c r="L175" s="152"/>
      <c r="M175" s="152"/>
      <c r="N175" s="402">
        <f t="shared" si="38"/>
        <v>0</v>
      </c>
      <c r="O175" s="402">
        <f t="shared" si="39"/>
        <v>0</v>
      </c>
      <c r="P175" s="403"/>
      <c r="Q175" s="152">
        <f t="shared" si="54"/>
        <v>0</v>
      </c>
      <c r="R175" s="152">
        <f t="shared" si="54"/>
        <v>0</v>
      </c>
      <c r="S175" s="402">
        <f t="shared" si="41"/>
        <v>0</v>
      </c>
      <c r="T175" s="404">
        <f t="shared" si="42"/>
        <v>0</v>
      </c>
      <c r="U175" s="403"/>
      <c r="W175" s="43" t="str">
        <f t="shared" si="53"/>
        <v/>
      </c>
      <c r="X175" s="43" t="str">
        <f t="shared" si="47"/>
        <v/>
      </c>
      <c r="Y175" s="43" t="str">
        <f t="shared" si="52"/>
        <v/>
      </c>
    </row>
    <row r="176" spans="1:25" hidden="1">
      <c r="A176" s="155">
        <v>530200</v>
      </c>
      <c r="B176" s="156" t="s">
        <v>242</v>
      </c>
      <c r="C176" s="411" t="s">
        <v>625</v>
      </c>
      <c r="D176" s="351">
        <v>1</v>
      </c>
      <c r="E176" s="182">
        <v>20</v>
      </c>
      <c r="F176" s="161">
        <v>2.2000000000000002</v>
      </c>
      <c r="G176" s="412">
        <f>IF(E176&lt;=30,(0.6*E176+1.25)*F176,((0.6*30+1.25)+0.5*(E176-30))*F176)</f>
        <v>29.150000000000002</v>
      </c>
      <c r="H176" s="465">
        <v>66.12</v>
      </c>
      <c r="I176" s="465">
        <f t="shared" ref="I176" si="57">IF(ISBLANK(H176),"",SUM(G176:H176))*0.85</f>
        <v>80.979500000000002</v>
      </c>
      <c r="J176" s="407">
        <f t="shared" si="49"/>
        <v>102.68</v>
      </c>
      <c r="K176" s="408" t="s">
        <v>16</v>
      </c>
      <c r="L176" s="152"/>
      <c r="M176" s="152"/>
      <c r="N176" s="402">
        <f t="shared" si="38"/>
        <v>0</v>
      </c>
      <c r="O176" s="402">
        <f t="shared" si="39"/>
        <v>0</v>
      </c>
      <c r="P176" s="403"/>
      <c r="Q176" s="152">
        <f t="shared" si="54"/>
        <v>0</v>
      </c>
      <c r="R176" s="152">
        <f t="shared" si="54"/>
        <v>0</v>
      </c>
      <c r="S176" s="402">
        <f t="shared" si="41"/>
        <v>0</v>
      </c>
      <c r="T176" s="404">
        <f t="shared" si="42"/>
        <v>0</v>
      </c>
      <c r="U176" s="403"/>
      <c r="W176" s="43" t="str">
        <f t="shared" si="53"/>
        <v/>
      </c>
      <c r="X176" s="43" t="str">
        <f t="shared" si="47"/>
        <v/>
      </c>
      <c r="Y176" s="43" t="str">
        <f t="shared" si="52"/>
        <v/>
      </c>
    </row>
    <row r="177" spans="1:25" hidden="1">
      <c r="A177" s="155">
        <v>516200</v>
      </c>
      <c r="B177" s="156" t="s">
        <v>242</v>
      </c>
      <c r="C177" s="411" t="s">
        <v>267</v>
      </c>
      <c r="D177" s="351"/>
      <c r="E177" s="182">
        <v>20</v>
      </c>
      <c r="F177" s="161">
        <v>1.95</v>
      </c>
      <c r="G177" s="412">
        <f>IF(E177&lt;=30,(0.6*E177+1.25)*F177,((0.6*30+1.25)+0.5*(E177-30))*F177)</f>
        <v>25.837499999999999</v>
      </c>
      <c r="H177" s="465">
        <v>53.99</v>
      </c>
      <c r="I177" s="465">
        <f>IF(ISBLANK(H177),"",SUM(G177:H177))*0.85</f>
        <v>67.853375</v>
      </c>
      <c r="J177" s="407">
        <f t="shared" si="49"/>
        <v>86.04</v>
      </c>
      <c r="K177" s="408" t="s">
        <v>16</v>
      </c>
      <c r="L177" s="152"/>
      <c r="M177" s="152"/>
      <c r="N177" s="402">
        <f t="shared" si="38"/>
        <v>0</v>
      </c>
      <c r="O177" s="402">
        <f t="shared" si="39"/>
        <v>0</v>
      </c>
      <c r="P177" s="403"/>
      <c r="Q177" s="152">
        <f t="shared" si="54"/>
        <v>0</v>
      </c>
      <c r="R177" s="152">
        <f t="shared" si="54"/>
        <v>0</v>
      </c>
      <c r="S177" s="402">
        <f t="shared" si="41"/>
        <v>0</v>
      </c>
      <c r="T177" s="404">
        <f t="shared" si="42"/>
        <v>0</v>
      </c>
      <c r="U177" s="403"/>
      <c r="W177" s="43" t="str">
        <f t="shared" si="53"/>
        <v/>
      </c>
      <c r="X177" s="43" t="str">
        <f t="shared" si="47"/>
        <v/>
      </c>
      <c r="Y177" s="43" t="str">
        <f t="shared" si="52"/>
        <v/>
      </c>
    </row>
    <row r="178" spans="1:25" hidden="1">
      <c r="A178" s="155">
        <v>531000</v>
      </c>
      <c r="B178" s="156" t="s">
        <v>242</v>
      </c>
      <c r="C178" s="411" t="s">
        <v>255</v>
      </c>
      <c r="D178" s="351">
        <v>1</v>
      </c>
      <c r="E178" s="182">
        <v>20</v>
      </c>
      <c r="F178" s="406">
        <v>2.4</v>
      </c>
      <c r="G178" s="158">
        <f>IF(E178&lt;=30,(0.6*E178+2.51)*F178,((0.6*30+2.51)+0.5*(E178-30))*F178)</f>
        <v>34.823999999999998</v>
      </c>
      <c r="H178" s="465">
        <v>86.75</v>
      </c>
      <c r="I178" s="465">
        <f>IF(ISBLANK(H178),"",SUM(G178:H178))*0.85</f>
        <v>103.33789999999999</v>
      </c>
      <c r="J178" s="407">
        <f t="shared" si="49"/>
        <v>131.03</v>
      </c>
      <c r="K178" s="408" t="s">
        <v>16</v>
      </c>
      <c r="L178" s="152"/>
      <c r="M178" s="152"/>
      <c r="N178" s="402">
        <f t="shared" ref="N178:N275" si="58">IF(ISBLANK(L178),0,ROUND(J178*L178,2))</f>
        <v>0</v>
      </c>
      <c r="O178" s="402">
        <f t="shared" ref="O178:O275" si="59">IF(ISBLANK(M178),0,ROUND(L178*M178,2))</f>
        <v>0</v>
      </c>
      <c r="P178" s="403"/>
      <c r="Q178" s="152">
        <f t="shared" si="54"/>
        <v>0</v>
      </c>
      <c r="R178" s="152">
        <f t="shared" si="54"/>
        <v>0</v>
      </c>
      <c r="S178" s="402">
        <f t="shared" ref="S178:S275" si="60">IF(ISBLANK(Q178),0,ROUND(J178*Q178,2))</f>
        <v>0</v>
      </c>
      <c r="T178" s="404">
        <f t="shared" ref="T178:T189" si="61">IF(ISBLANK(Q178),0,ROUND(Q178*R178,2))</f>
        <v>0</v>
      </c>
      <c r="U178" s="403"/>
      <c r="W178" s="43" t="str">
        <f t="shared" si="53"/>
        <v/>
      </c>
      <c r="X178" s="43" t="str">
        <f t="shared" si="47"/>
        <v/>
      </c>
      <c r="Y178" s="43" t="str">
        <f t="shared" si="52"/>
        <v/>
      </c>
    </row>
    <row r="179" spans="1:25" hidden="1">
      <c r="A179" s="155">
        <v>531120</v>
      </c>
      <c r="B179" s="156" t="s">
        <v>242</v>
      </c>
      <c r="C179" s="411" t="s">
        <v>261</v>
      </c>
      <c r="D179" s="351">
        <v>1</v>
      </c>
      <c r="E179" s="182"/>
      <c r="F179" s="406"/>
      <c r="G179" s="158">
        <f>SUM(G180:G182)</f>
        <v>52.166399999999996</v>
      </c>
      <c r="H179" s="465">
        <v>123.12</v>
      </c>
      <c r="I179" s="465">
        <f>IF(ISBLANK(H179),"",SUM(G179:H179))*0.9</f>
        <v>157.75776000000002</v>
      </c>
      <c r="J179" s="407">
        <f t="shared" si="49"/>
        <v>200.04</v>
      </c>
      <c r="K179" s="408" t="s">
        <v>16</v>
      </c>
      <c r="L179" s="152"/>
      <c r="M179" s="152"/>
      <c r="N179" s="402">
        <f t="shared" si="58"/>
        <v>0</v>
      </c>
      <c r="O179" s="402">
        <f t="shared" si="59"/>
        <v>0</v>
      </c>
      <c r="P179" s="403"/>
      <c r="Q179" s="152">
        <f t="shared" si="54"/>
        <v>0</v>
      </c>
      <c r="R179" s="152">
        <f t="shared" si="54"/>
        <v>0</v>
      </c>
      <c r="S179" s="402">
        <f t="shared" si="60"/>
        <v>0</v>
      </c>
      <c r="T179" s="404">
        <f t="shared" si="61"/>
        <v>0</v>
      </c>
      <c r="U179" s="403"/>
      <c r="W179" s="43" t="str">
        <f t="shared" si="53"/>
        <v/>
      </c>
      <c r="X179" s="43" t="str">
        <f t="shared" si="47"/>
        <v/>
      </c>
      <c r="Y179" s="43" t="str">
        <f t="shared" si="52"/>
        <v/>
      </c>
    </row>
    <row r="180" spans="1:25" hidden="1">
      <c r="A180" s="155" t="s">
        <v>183</v>
      </c>
      <c r="B180" s="156"/>
      <c r="C180" s="348" t="s">
        <v>251</v>
      </c>
      <c r="D180" s="157"/>
      <c r="E180" s="405">
        <v>500</v>
      </c>
      <c r="F180" s="406">
        <v>9.6000000000000002E-2</v>
      </c>
      <c r="G180" s="158">
        <f>IF(E180&lt;=30,(0.42*E180+3.55)*F180,((0.42*30+3.55)+0.35*(E180-30))*F180)</f>
        <v>17.342400000000001</v>
      </c>
      <c r="H180" s="465"/>
      <c r="I180" s="465" t="str">
        <f t="shared" ref="I180:I182" si="62">IF(ISBLANK(H180),"",SUM(G180:H180))</f>
        <v/>
      </c>
      <c r="J180" s="407">
        <f t="shared" si="49"/>
        <v>0</v>
      </c>
      <c r="K180" s="394" t="s">
        <v>1029</v>
      </c>
      <c r="L180" s="212"/>
      <c r="M180" s="213"/>
      <c r="N180" s="402">
        <f t="shared" si="58"/>
        <v>0</v>
      </c>
      <c r="O180" s="402">
        <f t="shared" si="59"/>
        <v>0</v>
      </c>
      <c r="P180" s="403"/>
      <c r="Q180" s="212"/>
      <c r="R180" s="213"/>
      <c r="S180" s="402">
        <f t="shared" si="60"/>
        <v>0</v>
      </c>
      <c r="T180" s="404">
        <f t="shared" si="61"/>
        <v>0</v>
      </c>
      <c r="U180" s="403"/>
      <c r="V180" s="144" t="str">
        <f>IF(T179&gt;0,"xx",IF(O179&gt;0,"xy",""))</f>
        <v/>
      </c>
      <c r="W180" s="43" t="str">
        <f t="shared" si="53"/>
        <v/>
      </c>
      <c r="X180" s="43" t="str">
        <f t="shared" si="47"/>
        <v/>
      </c>
      <c r="Y180" s="43" t="str">
        <f t="shared" si="52"/>
        <v/>
      </c>
    </row>
    <row r="181" spans="1:25" hidden="1">
      <c r="A181" s="155" t="s">
        <v>183</v>
      </c>
      <c r="B181" s="156"/>
      <c r="C181" s="348" t="s">
        <v>262</v>
      </c>
      <c r="D181" s="157"/>
      <c r="E181" s="182"/>
      <c r="F181" s="406">
        <v>2.4</v>
      </c>
      <c r="G181" s="158">
        <f>IF(E181=0,0,IF(E181&lt;=30,(0.57*E181+1.18)*F181,((0.57*30+1.18)+0.47*(E181-30))*F181))</f>
        <v>0</v>
      </c>
      <c r="H181" s="465"/>
      <c r="I181" s="465" t="str">
        <f t="shared" si="62"/>
        <v/>
      </c>
      <c r="J181" s="407">
        <f t="shared" si="49"/>
        <v>0</v>
      </c>
      <c r="K181" s="394" t="s">
        <v>1029</v>
      </c>
      <c r="L181" s="212"/>
      <c r="M181" s="213"/>
      <c r="N181" s="402">
        <f t="shared" si="58"/>
        <v>0</v>
      </c>
      <c r="O181" s="402">
        <f t="shared" si="59"/>
        <v>0</v>
      </c>
      <c r="P181" s="403"/>
      <c r="Q181" s="212"/>
      <c r="R181" s="213"/>
      <c r="S181" s="402">
        <f t="shared" si="60"/>
        <v>0</v>
      </c>
      <c r="T181" s="404">
        <f t="shared" si="61"/>
        <v>0</v>
      </c>
      <c r="U181" s="403"/>
      <c r="V181" s="144" t="str">
        <f>IF(T179&gt;0,"xx",IF(O179&gt;0,"xy",""))</f>
        <v/>
      </c>
      <c r="W181" s="43" t="str">
        <f t="shared" si="53"/>
        <v/>
      </c>
      <c r="X181" s="43" t="str">
        <f t="shared" si="47"/>
        <v/>
      </c>
      <c r="Y181" s="43" t="str">
        <f t="shared" si="52"/>
        <v/>
      </c>
    </row>
    <row r="182" spans="1:25" hidden="1">
      <c r="A182" s="155" t="s">
        <v>183</v>
      </c>
      <c r="B182" s="156"/>
      <c r="C182" s="348" t="s">
        <v>263</v>
      </c>
      <c r="D182" s="157"/>
      <c r="E182" s="182">
        <v>20</v>
      </c>
      <c r="F182" s="406">
        <v>2.4</v>
      </c>
      <c r="G182" s="158">
        <f>IF(E182&lt;=30,(0.6*E182+2.51)*F182,((0.6*30+2.51)+0.5*(E182-30))*F182)</f>
        <v>34.823999999999998</v>
      </c>
      <c r="H182" s="465"/>
      <c r="I182" s="465" t="str">
        <f t="shared" si="62"/>
        <v/>
      </c>
      <c r="J182" s="407">
        <f t="shared" si="49"/>
        <v>0</v>
      </c>
      <c r="K182" s="394" t="s">
        <v>1029</v>
      </c>
      <c r="L182" s="212"/>
      <c r="M182" s="213"/>
      <c r="N182" s="402">
        <f t="shared" si="58"/>
        <v>0</v>
      </c>
      <c r="O182" s="402">
        <f t="shared" si="59"/>
        <v>0</v>
      </c>
      <c r="P182" s="403"/>
      <c r="Q182" s="212"/>
      <c r="R182" s="213"/>
      <c r="S182" s="402">
        <f t="shared" si="60"/>
        <v>0</v>
      </c>
      <c r="T182" s="404">
        <f t="shared" si="61"/>
        <v>0</v>
      </c>
      <c r="U182" s="403"/>
      <c r="V182" s="144" t="str">
        <f>IF($T$131&gt;0,"xx",IF($O$131&gt;0,"xy",""))</f>
        <v/>
      </c>
      <c r="W182" s="43" t="str">
        <f t="shared" si="53"/>
        <v/>
      </c>
      <c r="X182" s="43" t="str">
        <f t="shared" si="47"/>
        <v/>
      </c>
      <c r="Y182" s="43" t="str">
        <f t="shared" si="52"/>
        <v/>
      </c>
    </row>
    <row r="183" spans="1:25" hidden="1">
      <c r="A183" s="155">
        <v>531350</v>
      </c>
      <c r="B183" s="156" t="s">
        <v>242</v>
      </c>
      <c r="C183" s="411" t="s">
        <v>256</v>
      </c>
      <c r="D183" s="351">
        <v>1</v>
      </c>
      <c r="E183" s="182"/>
      <c r="F183" s="161"/>
      <c r="G183" s="162">
        <f>SUM(G184:G185)</f>
        <v>26.897500000000001</v>
      </c>
      <c r="H183" s="465">
        <v>67.37</v>
      </c>
      <c r="I183" s="465">
        <f>IF(ISBLANK(H183),"",SUM(G183:H183))*0.9</f>
        <v>84.840750000000014</v>
      </c>
      <c r="J183" s="407">
        <f t="shared" si="49"/>
        <v>107.58</v>
      </c>
      <c r="K183" s="408" t="s">
        <v>16</v>
      </c>
      <c r="L183" s="152"/>
      <c r="M183" s="152"/>
      <c r="N183" s="402">
        <f t="shared" si="58"/>
        <v>0</v>
      </c>
      <c r="O183" s="402">
        <f t="shared" si="59"/>
        <v>0</v>
      </c>
      <c r="P183" s="403"/>
      <c r="Q183" s="152">
        <f t="shared" ref="Q183:R183" si="63">L183</f>
        <v>0</v>
      </c>
      <c r="R183" s="152">
        <f t="shared" si="63"/>
        <v>0</v>
      </c>
      <c r="S183" s="402">
        <f t="shared" si="60"/>
        <v>0</v>
      </c>
      <c r="T183" s="404">
        <f t="shared" si="61"/>
        <v>0</v>
      </c>
      <c r="U183" s="403"/>
      <c r="W183" s="43" t="str">
        <f t="shared" si="53"/>
        <v/>
      </c>
      <c r="X183" s="43" t="str">
        <f t="shared" si="47"/>
        <v/>
      </c>
      <c r="Y183" s="43" t="str">
        <f t="shared" si="52"/>
        <v/>
      </c>
    </row>
    <row r="184" spans="1:25" hidden="1">
      <c r="A184" s="155" t="s">
        <v>183</v>
      </c>
      <c r="B184" s="156"/>
      <c r="C184" s="348" t="s">
        <v>257</v>
      </c>
      <c r="D184" s="157"/>
      <c r="E184" s="182">
        <v>20</v>
      </c>
      <c r="F184" s="161">
        <v>1.35</v>
      </c>
      <c r="G184" s="412">
        <f>IF(E184&lt;=30,(0.6*E184+1.25)*F184,((0.6*30+1.25)+0.5*(E184-30))*F184)</f>
        <v>17.887500000000003</v>
      </c>
      <c r="H184" s="465"/>
      <c r="I184" s="465"/>
      <c r="J184" s="407">
        <f t="shared" si="49"/>
        <v>0</v>
      </c>
      <c r="K184" s="394" t="s">
        <v>1029</v>
      </c>
      <c r="L184" s="212"/>
      <c r="M184" s="213"/>
      <c r="N184" s="402">
        <f t="shared" si="58"/>
        <v>0</v>
      </c>
      <c r="O184" s="402">
        <f t="shared" si="59"/>
        <v>0</v>
      </c>
      <c r="P184" s="403"/>
      <c r="Q184" s="212"/>
      <c r="R184" s="213"/>
      <c r="S184" s="402">
        <f t="shared" si="60"/>
        <v>0</v>
      </c>
      <c r="T184" s="404">
        <f t="shared" si="61"/>
        <v>0</v>
      </c>
      <c r="U184" s="403"/>
      <c r="V184" s="144" t="str">
        <f>IF(T183&gt;0,"xx",IF(O183&gt;0,"xy",""))</f>
        <v/>
      </c>
      <c r="W184" s="43" t="str">
        <f t="shared" si="53"/>
        <v/>
      </c>
      <c r="X184" s="43" t="str">
        <f t="shared" si="47"/>
        <v/>
      </c>
      <c r="Y184" s="43" t="str">
        <f t="shared" si="52"/>
        <v/>
      </c>
    </row>
    <row r="185" spans="1:25" hidden="1">
      <c r="A185" s="155" t="s">
        <v>183</v>
      </c>
      <c r="B185" s="156"/>
      <c r="C185" s="348" t="s">
        <v>258</v>
      </c>
      <c r="D185" s="157"/>
      <c r="E185" s="182">
        <v>20</v>
      </c>
      <c r="F185" s="161">
        <v>0.68</v>
      </c>
      <c r="G185" s="412">
        <f>IF(E185&lt;=30,(0.6*E185+1.25)*F185,((0.6*30+1.25)+0.5*(E185-30))*F185)</f>
        <v>9.01</v>
      </c>
      <c r="H185" s="465"/>
      <c r="I185" s="465"/>
      <c r="J185" s="407">
        <f t="shared" si="49"/>
        <v>0</v>
      </c>
      <c r="K185" s="394" t="s">
        <v>1029</v>
      </c>
      <c r="L185" s="212"/>
      <c r="M185" s="213"/>
      <c r="N185" s="402">
        <f t="shared" si="58"/>
        <v>0</v>
      </c>
      <c r="O185" s="402">
        <f t="shared" si="59"/>
        <v>0</v>
      </c>
      <c r="P185" s="403"/>
      <c r="Q185" s="212"/>
      <c r="R185" s="213"/>
      <c r="S185" s="402">
        <f t="shared" si="60"/>
        <v>0</v>
      </c>
      <c r="T185" s="404">
        <f t="shared" si="61"/>
        <v>0</v>
      </c>
      <c r="U185" s="403"/>
      <c r="V185" s="144" t="str">
        <f>IF(T183&gt;0,"xx",IF(O183&gt;0,"xy",""))</f>
        <v/>
      </c>
      <c r="W185" s="43" t="str">
        <f t="shared" si="53"/>
        <v/>
      </c>
      <c r="X185" s="43" t="str">
        <f t="shared" si="47"/>
        <v/>
      </c>
      <c r="Y185" s="43" t="str">
        <f t="shared" si="52"/>
        <v/>
      </c>
    </row>
    <row r="186" spans="1:25">
      <c r="A186" s="155">
        <v>531300</v>
      </c>
      <c r="B186" s="156" t="s">
        <v>242</v>
      </c>
      <c r="C186" s="411" t="s">
        <v>259</v>
      </c>
      <c r="D186" s="351">
        <v>1</v>
      </c>
      <c r="E186" s="182"/>
      <c r="F186" s="161"/>
      <c r="G186" s="162">
        <f>SUM(G187:G188)</f>
        <v>71.96350000000001</v>
      </c>
      <c r="H186" s="465">
        <v>69.02</v>
      </c>
      <c r="I186" s="465">
        <f>IF(ISBLANK(H186),"",SUM(G186:H186))*0.9</f>
        <v>126.88515</v>
      </c>
      <c r="J186" s="407">
        <f t="shared" si="49"/>
        <v>160.88999999999999</v>
      </c>
      <c r="K186" s="408" t="s">
        <v>16</v>
      </c>
      <c r="L186" s="152">
        <v>97.5</v>
      </c>
      <c r="M186" s="152">
        <v>160.88999999999999</v>
      </c>
      <c r="N186" s="402">
        <f t="shared" si="58"/>
        <v>15686.78</v>
      </c>
      <c r="O186" s="402">
        <f t="shared" si="59"/>
        <v>15686.78</v>
      </c>
      <c r="P186" s="403"/>
      <c r="Q186" s="152">
        <f t="shared" si="54"/>
        <v>97.5</v>
      </c>
      <c r="R186" s="152">
        <f t="shared" si="54"/>
        <v>160.88999999999999</v>
      </c>
      <c r="S186" s="402">
        <f t="shared" si="60"/>
        <v>15686.78</v>
      </c>
      <c r="T186" s="404">
        <f t="shared" si="61"/>
        <v>15686.78</v>
      </c>
      <c r="U186" s="403"/>
      <c r="W186" s="43" t="str">
        <f t="shared" si="53"/>
        <v>x</v>
      </c>
      <c r="X186" s="43" t="str">
        <f t="shared" si="47"/>
        <v>x</v>
      </c>
      <c r="Y186" s="43" t="str">
        <f t="shared" si="52"/>
        <v>x</v>
      </c>
    </row>
    <row r="187" spans="1:25">
      <c r="A187" s="155" t="s">
        <v>183</v>
      </c>
      <c r="B187" s="156"/>
      <c r="C187" s="348" t="s">
        <v>257</v>
      </c>
      <c r="D187" s="157"/>
      <c r="E187" s="182">
        <v>62.4</v>
      </c>
      <c r="F187" s="161">
        <v>1.35</v>
      </c>
      <c r="G187" s="412">
        <f>IF(E187&lt;=30,(0.6*E187+1.25)*F187,((0.6*30+1.25)+0.5*(E187-30))*F187)</f>
        <v>47.857500000000009</v>
      </c>
      <c r="H187" s="465"/>
      <c r="I187" s="465"/>
      <c r="J187" s="407">
        <f t="shared" si="49"/>
        <v>0</v>
      </c>
      <c r="K187" s="394" t="s">
        <v>1029</v>
      </c>
      <c r="L187" s="212"/>
      <c r="M187" s="213"/>
      <c r="N187" s="402">
        <f t="shared" si="58"/>
        <v>0</v>
      </c>
      <c r="O187" s="402">
        <f t="shared" si="59"/>
        <v>0</v>
      </c>
      <c r="P187" s="403"/>
      <c r="Q187" s="212"/>
      <c r="R187" s="213"/>
      <c r="S187" s="402">
        <f t="shared" si="60"/>
        <v>0</v>
      </c>
      <c r="T187" s="404">
        <f t="shared" si="61"/>
        <v>0</v>
      </c>
      <c r="U187" s="403"/>
      <c r="V187" s="144" t="str">
        <f>IF(T186&gt;0,"xx",IF(O186&gt;0,"xy",""))</f>
        <v>xx</v>
      </c>
      <c r="W187" s="43" t="str">
        <f t="shared" si="53"/>
        <v>x</v>
      </c>
      <c r="X187" s="43" t="str">
        <f t="shared" si="47"/>
        <v>x</v>
      </c>
      <c r="Y187" s="43" t="str">
        <f t="shared" si="52"/>
        <v/>
      </c>
    </row>
    <row r="188" spans="1:25" ht="13.5" thickBot="1">
      <c r="A188" s="155" t="s">
        <v>183</v>
      </c>
      <c r="B188" s="156"/>
      <c r="C188" s="348" t="s">
        <v>258</v>
      </c>
      <c r="D188" s="157"/>
      <c r="E188" s="182">
        <v>62.4</v>
      </c>
      <c r="F188" s="161">
        <v>0.68</v>
      </c>
      <c r="G188" s="412">
        <f>IF(E188&lt;=30,(0.6*E188+1.25)*F188,((0.6*30+1.25)+0.5*(E188-30))*F188)</f>
        <v>24.106000000000005</v>
      </c>
      <c r="H188" s="465"/>
      <c r="I188" s="465"/>
      <c r="J188" s="407">
        <f t="shared" si="49"/>
        <v>0</v>
      </c>
      <c r="K188" s="394" t="s">
        <v>1029</v>
      </c>
      <c r="L188" s="212"/>
      <c r="M188" s="213"/>
      <c r="N188" s="402">
        <f t="shared" si="58"/>
        <v>0</v>
      </c>
      <c r="O188" s="402">
        <f t="shared" si="59"/>
        <v>0</v>
      </c>
      <c r="P188" s="403"/>
      <c r="Q188" s="212"/>
      <c r="R188" s="213"/>
      <c r="S188" s="402">
        <f t="shared" si="60"/>
        <v>0</v>
      </c>
      <c r="T188" s="404">
        <f t="shared" si="61"/>
        <v>0</v>
      </c>
      <c r="U188" s="403"/>
      <c r="V188" s="144" t="str">
        <f>IF(T186&gt;0,"xx",IF(O186&gt;0,"xy",""))</f>
        <v>xx</v>
      </c>
      <c r="W188" s="43" t="str">
        <f t="shared" si="53"/>
        <v>x</v>
      </c>
      <c r="X188" s="43" t="str">
        <f t="shared" si="47"/>
        <v>x</v>
      </c>
      <c r="Y188" s="43" t="str">
        <f t="shared" si="52"/>
        <v/>
      </c>
    </row>
    <row r="189" spans="1:25" ht="13.5" hidden="1" thickBot="1">
      <c r="A189" s="155">
        <v>532000</v>
      </c>
      <c r="B189" s="156"/>
      <c r="C189" s="411" t="s">
        <v>260</v>
      </c>
      <c r="D189" s="351">
        <v>1</v>
      </c>
      <c r="E189" s="405">
        <v>20</v>
      </c>
      <c r="F189" s="406">
        <v>2.2000000000000002</v>
      </c>
      <c r="G189" s="412">
        <f>IF(E189&lt;=30,(0.6*E189+1.25)*F189,((0.6*30+1.25)+0.5*(E189-30))*F189)</f>
        <v>29.150000000000002</v>
      </c>
      <c r="H189" s="465">
        <v>77.3</v>
      </c>
      <c r="I189" s="465">
        <f>IF(ISBLANK(H189),"",SUM(G189:H189))*0.9</f>
        <v>95.805000000000007</v>
      </c>
      <c r="J189" s="407">
        <f t="shared" si="49"/>
        <v>121.48</v>
      </c>
      <c r="K189" s="408" t="s">
        <v>16</v>
      </c>
      <c r="L189" s="204"/>
      <c r="M189" s="204"/>
      <c r="N189" s="402">
        <f t="shared" si="58"/>
        <v>0</v>
      </c>
      <c r="O189" s="404">
        <f t="shared" si="59"/>
        <v>0</v>
      </c>
      <c r="P189" s="403"/>
      <c r="Q189" s="205">
        <f t="shared" si="54"/>
        <v>0</v>
      </c>
      <c r="R189" s="204">
        <f t="shared" si="54"/>
        <v>0</v>
      </c>
      <c r="S189" s="402">
        <f t="shared" si="60"/>
        <v>0</v>
      </c>
      <c r="T189" s="404">
        <f t="shared" si="61"/>
        <v>0</v>
      </c>
      <c r="U189" s="403"/>
      <c r="W189" s="43" t="str">
        <f t="shared" si="53"/>
        <v/>
      </c>
      <c r="X189" s="43" t="str">
        <f t="shared" si="47"/>
        <v/>
      </c>
      <c r="Y189" s="43" t="str">
        <f t="shared" si="52"/>
        <v/>
      </c>
    </row>
    <row r="190" spans="1:25" ht="13.5" hidden="1" thickBot="1">
      <c r="A190" s="400" t="s">
        <v>217</v>
      </c>
      <c r="B190" s="206"/>
      <c r="C190" s="344" t="s">
        <v>602</v>
      </c>
      <c r="D190" s="185"/>
      <c r="E190" s="207"/>
      <c r="F190" s="208"/>
      <c r="G190" s="209"/>
      <c r="H190" s="210"/>
      <c r="I190" s="210"/>
      <c r="J190" s="210"/>
      <c r="K190" s="210" t="s">
        <v>1029</v>
      </c>
      <c r="L190" s="209"/>
      <c r="M190" s="210"/>
      <c r="N190" s="210"/>
      <c r="O190" s="211"/>
      <c r="P190" s="403"/>
      <c r="Q190" s="209"/>
      <c r="R190" s="210"/>
      <c r="S190" s="210"/>
      <c r="T190" s="211"/>
      <c r="U190" s="403"/>
      <c r="V190" s="144" t="str">
        <f>IF(OR(SUM(O191:O215)&gt;0,SUM(T191:T215)&gt;0),"y","")</f>
        <v/>
      </c>
      <c r="W190" s="43" t="str">
        <f t="shared" si="53"/>
        <v/>
      </c>
      <c r="X190" s="43" t="str">
        <f t="shared" si="47"/>
        <v/>
      </c>
      <c r="Y190" s="43" t="str">
        <f t="shared" si="52"/>
        <v/>
      </c>
    </row>
    <row r="191" spans="1:25" ht="13.5" hidden="1" thickBot="1">
      <c r="A191" s="397" t="s">
        <v>217</v>
      </c>
      <c r="B191" s="165" t="s">
        <v>217</v>
      </c>
      <c r="C191" s="203"/>
      <c r="D191" s="167"/>
      <c r="E191" s="168"/>
      <c r="F191" s="169"/>
      <c r="G191" s="170"/>
      <c r="H191" s="171"/>
      <c r="I191" s="452"/>
      <c r="J191" s="453">
        <f t="shared" ref="J191:J215" si="64">IF(ISBLANK(I191),0,ROUND(I191*(1+$E$10)*(1+$E$11*D191),2))</f>
        <v>0</v>
      </c>
      <c r="K191" s="392" t="s">
        <v>1029</v>
      </c>
      <c r="L191" s="204"/>
      <c r="M191" s="204"/>
      <c r="N191" s="402">
        <f t="shared" ref="N191" si="65">IF(ISBLANK(L191),0,ROUND(J191*L191,2))</f>
        <v>0</v>
      </c>
      <c r="O191" s="404">
        <f t="shared" ref="O191:O215" si="66">IF(ISBLANK(M191),0,ROUND(L191*M191,2))</f>
        <v>0</v>
      </c>
      <c r="P191" s="403"/>
      <c r="Q191" s="205">
        <f t="shared" ref="Q191:R215" si="67">L191</f>
        <v>0</v>
      </c>
      <c r="R191" s="204">
        <f t="shared" si="67"/>
        <v>0</v>
      </c>
      <c r="S191" s="402">
        <f t="shared" ref="S191:S215" si="68">IF(ISBLANK(Q191),0,ROUND(J191*Q191,2))</f>
        <v>0</v>
      </c>
      <c r="T191" s="404">
        <f t="shared" ref="T191:T215" si="69">IF(ISBLANK(Q191),0,ROUND(Q191*R191,2))</f>
        <v>0</v>
      </c>
      <c r="U191" s="403"/>
      <c r="W191" s="43" t="str">
        <f t="shared" si="53"/>
        <v/>
      </c>
      <c r="X191" s="43" t="str">
        <f t="shared" si="47"/>
        <v/>
      </c>
      <c r="Y191" s="43" t="str">
        <f t="shared" si="52"/>
        <v/>
      </c>
    </row>
    <row r="192" spans="1:25" ht="13.5" hidden="1" thickBot="1">
      <c r="A192" s="397" t="s">
        <v>217</v>
      </c>
      <c r="B192" s="165" t="s">
        <v>217</v>
      </c>
      <c r="C192" s="166"/>
      <c r="D192" s="167"/>
      <c r="E192" s="168"/>
      <c r="F192" s="169"/>
      <c r="G192" s="170"/>
      <c r="H192" s="171"/>
      <c r="I192" s="452"/>
      <c r="J192" s="454">
        <f t="shared" si="64"/>
        <v>0</v>
      </c>
      <c r="K192" s="392" t="s">
        <v>1029</v>
      </c>
      <c r="L192" s="152"/>
      <c r="M192" s="152"/>
      <c r="N192" s="402">
        <f>IF(ISBLANK(L192),0,ROUND(J192*L192,2))</f>
        <v>0</v>
      </c>
      <c r="O192" s="402">
        <f t="shared" si="66"/>
        <v>0</v>
      </c>
      <c r="P192" s="403"/>
      <c r="Q192" s="152">
        <f t="shared" si="67"/>
        <v>0</v>
      </c>
      <c r="R192" s="152">
        <f t="shared" si="67"/>
        <v>0</v>
      </c>
      <c r="S192" s="402">
        <f t="shared" si="68"/>
        <v>0</v>
      </c>
      <c r="T192" s="164">
        <f t="shared" si="69"/>
        <v>0</v>
      </c>
      <c r="U192" s="403"/>
      <c r="W192" s="43" t="str">
        <f t="shared" si="53"/>
        <v/>
      </c>
      <c r="X192" s="43" t="str">
        <f t="shared" si="47"/>
        <v/>
      </c>
      <c r="Y192" s="43" t="str">
        <f t="shared" si="52"/>
        <v/>
      </c>
    </row>
    <row r="193" spans="1:25" ht="13.5" hidden="1" thickBot="1">
      <c r="A193" s="397" t="s">
        <v>217</v>
      </c>
      <c r="B193" s="165" t="s">
        <v>217</v>
      </c>
      <c r="C193" s="166"/>
      <c r="D193" s="167"/>
      <c r="E193" s="168"/>
      <c r="F193" s="169"/>
      <c r="G193" s="170"/>
      <c r="H193" s="171"/>
      <c r="I193" s="452"/>
      <c r="J193" s="454">
        <f t="shared" si="64"/>
        <v>0</v>
      </c>
      <c r="K193" s="392" t="s">
        <v>1029</v>
      </c>
      <c r="L193" s="152"/>
      <c r="M193" s="152"/>
      <c r="N193" s="402">
        <f t="shared" ref="N193:N215" si="70">IF(ISBLANK(L193),0,ROUND(J193*L193,2))</f>
        <v>0</v>
      </c>
      <c r="O193" s="402">
        <f t="shared" si="66"/>
        <v>0</v>
      </c>
      <c r="P193" s="403"/>
      <c r="Q193" s="152">
        <f t="shared" si="67"/>
        <v>0</v>
      </c>
      <c r="R193" s="152">
        <f t="shared" si="67"/>
        <v>0</v>
      </c>
      <c r="S193" s="402">
        <f t="shared" si="68"/>
        <v>0</v>
      </c>
      <c r="T193" s="404">
        <f t="shared" si="69"/>
        <v>0</v>
      </c>
      <c r="U193" s="403"/>
      <c r="W193" s="43" t="str">
        <f t="shared" si="53"/>
        <v/>
      </c>
      <c r="X193" s="43" t="str">
        <f t="shared" si="47"/>
        <v/>
      </c>
      <c r="Y193" s="43" t="str">
        <f t="shared" si="52"/>
        <v/>
      </c>
    </row>
    <row r="194" spans="1:25" ht="13.5" hidden="1" thickBot="1">
      <c r="A194" s="397" t="s">
        <v>217</v>
      </c>
      <c r="B194" s="165" t="s">
        <v>217</v>
      </c>
      <c r="C194" s="166"/>
      <c r="D194" s="167"/>
      <c r="E194" s="168"/>
      <c r="F194" s="169"/>
      <c r="G194" s="170"/>
      <c r="H194" s="171"/>
      <c r="I194" s="452"/>
      <c r="J194" s="454">
        <f t="shared" si="64"/>
        <v>0</v>
      </c>
      <c r="K194" s="392" t="s">
        <v>1029</v>
      </c>
      <c r="L194" s="152"/>
      <c r="M194" s="152"/>
      <c r="N194" s="402">
        <f t="shared" si="70"/>
        <v>0</v>
      </c>
      <c r="O194" s="402">
        <f t="shared" si="66"/>
        <v>0</v>
      </c>
      <c r="P194" s="403"/>
      <c r="Q194" s="152">
        <f t="shared" si="67"/>
        <v>0</v>
      </c>
      <c r="R194" s="152">
        <f t="shared" si="67"/>
        <v>0</v>
      </c>
      <c r="S194" s="402">
        <f t="shared" si="68"/>
        <v>0</v>
      </c>
      <c r="T194" s="404">
        <f t="shared" si="69"/>
        <v>0</v>
      </c>
      <c r="U194" s="403"/>
      <c r="W194" s="43" t="str">
        <f t="shared" si="53"/>
        <v/>
      </c>
      <c r="X194" s="43" t="str">
        <f t="shared" si="47"/>
        <v/>
      </c>
      <c r="Y194" s="43" t="str">
        <f t="shared" si="52"/>
        <v/>
      </c>
    </row>
    <row r="195" spans="1:25" ht="13.5" hidden="1" thickBot="1">
      <c r="A195" s="397" t="s">
        <v>217</v>
      </c>
      <c r="B195" s="165" t="s">
        <v>217</v>
      </c>
      <c r="C195" s="166"/>
      <c r="D195" s="167"/>
      <c r="E195" s="168"/>
      <c r="F195" s="169"/>
      <c r="G195" s="170"/>
      <c r="H195" s="171"/>
      <c r="I195" s="452"/>
      <c r="J195" s="454">
        <f t="shared" si="64"/>
        <v>0</v>
      </c>
      <c r="K195" s="392" t="s">
        <v>1029</v>
      </c>
      <c r="L195" s="152"/>
      <c r="M195" s="152"/>
      <c r="N195" s="402">
        <f t="shared" si="70"/>
        <v>0</v>
      </c>
      <c r="O195" s="402">
        <f t="shared" si="66"/>
        <v>0</v>
      </c>
      <c r="P195" s="403"/>
      <c r="Q195" s="152">
        <f t="shared" si="67"/>
        <v>0</v>
      </c>
      <c r="R195" s="152">
        <f t="shared" si="67"/>
        <v>0</v>
      </c>
      <c r="S195" s="402">
        <f t="shared" si="68"/>
        <v>0</v>
      </c>
      <c r="T195" s="404">
        <f t="shared" si="69"/>
        <v>0</v>
      </c>
      <c r="U195" s="403"/>
      <c r="W195" s="43" t="str">
        <f t="shared" si="53"/>
        <v/>
      </c>
      <c r="X195" s="43" t="str">
        <f t="shared" si="47"/>
        <v/>
      </c>
      <c r="Y195" s="43" t="str">
        <f t="shared" si="52"/>
        <v/>
      </c>
    </row>
    <row r="196" spans="1:25" ht="13.5" hidden="1" thickBot="1">
      <c r="A196" s="397" t="s">
        <v>217</v>
      </c>
      <c r="B196" s="165" t="s">
        <v>217</v>
      </c>
      <c r="C196" s="166"/>
      <c r="D196" s="167"/>
      <c r="E196" s="168"/>
      <c r="F196" s="169"/>
      <c r="G196" s="170"/>
      <c r="H196" s="171"/>
      <c r="I196" s="452"/>
      <c r="J196" s="454">
        <f t="shared" si="64"/>
        <v>0</v>
      </c>
      <c r="K196" s="392" t="s">
        <v>1029</v>
      </c>
      <c r="L196" s="152"/>
      <c r="M196" s="152"/>
      <c r="N196" s="402">
        <f t="shared" si="70"/>
        <v>0</v>
      </c>
      <c r="O196" s="402">
        <f t="shared" si="66"/>
        <v>0</v>
      </c>
      <c r="P196" s="403"/>
      <c r="Q196" s="152">
        <f t="shared" si="67"/>
        <v>0</v>
      </c>
      <c r="R196" s="152">
        <f t="shared" si="67"/>
        <v>0</v>
      </c>
      <c r="S196" s="402">
        <f t="shared" si="68"/>
        <v>0</v>
      </c>
      <c r="T196" s="404">
        <f t="shared" si="69"/>
        <v>0</v>
      </c>
      <c r="U196" s="403"/>
      <c r="W196" s="43" t="str">
        <f t="shared" si="53"/>
        <v/>
      </c>
      <c r="X196" s="43" t="str">
        <f t="shared" si="47"/>
        <v/>
      </c>
      <c r="Y196" s="43" t="str">
        <f t="shared" si="52"/>
        <v/>
      </c>
    </row>
    <row r="197" spans="1:25" ht="13.5" hidden="1" thickBot="1">
      <c r="A197" s="397" t="s">
        <v>217</v>
      </c>
      <c r="B197" s="165" t="s">
        <v>217</v>
      </c>
      <c r="C197" s="166"/>
      <c r="D197" s="167"/>
      <c r="E197" s="168"/>
      <c r="F197" s="169"/>
      <c r="G197" s="170"/>
      <c r="H197" s="171"/>
      <c r="I197" s="452"/>
      <c r="J197" s="454">
        <f t="shared" si="64"/>
        <v>0</v>
      </c>
      <c r="K197" s="392" t="s">
        <v>1029</v>
      </c>
      <c r="L197" s="152"/>
      <c r="M197" s="152"/>
      <c r="N197" s="402">
        <f t="shared" si="70"/>
        <v>0</v>
      </c>
      <c r="O197" s="402">
        <f t="shared" si="66"/>
        <v>0</v>
      </c>
      <c r="P197" s="403"/>
      <c r="Q197" s="152">
        <f t="shared" si="67"/>
        <v>0</v>
      </c>
      <c r="R197" s="152">
        <f t="shared" si="67"/>
        <v>0</v>
      </c>
      <c r="S197" s="402">
        <f t="shared" si="68"/>
        <v>0</v>
      </c>
      <c r="T197" s="404">
        <f t="shared" si="69"/>
        <v>0</v>
      </c>
      <c r="U197" s="403"/>
      <c r="W197" s="43" t="str">
        <f t="shared" si="53"/>
        <v/>
      </c>
      <c r="X197" s="43" t="str">
        <f t="shared" si="47"/>
        <v/>
      </c>
      <c r="Y197" s="43" t="str">
        <f t="shared" si="52"/>
        <v/>
      </c>
    </row>
    <row r="198" spans="1:25" ht="13.5" hidden="1" thickBot="1">
      <c r="A198" s="397" t="s">
        <v>217</v>
      </c>
      <c r="B198" s="165" t="s">
        <v>217</v>
      </c>
      <c r="C198" s="166"/>
      <c r="D198" s="167"/>
      <c r="E198" s="168"/>
      <c r="F198" s="169"/>
      <c r="G198" s="170"/>
      <c r="H198" s="171"/>
      <c r="I198" s="452"/>
      <c r="J198" s="454">
        <f t="shared" si="64"/>
        <v>0</v>
      </c>
      <c r="K198" s="392" t="s">
        <v>1029</v>
      </c>
      <c r="L198" s="152"/>
      <c r="M198" s="152"/>
      <c r="N198" s="402">
        <f t="shared" si="70"/>
        <v>0</v>
      </c>
      <c r="O198" s="402">
        <f t="shared" si="66"/>
        <v>0</v>
      </c>
      <c r="P198" s="403"/>
      <c r="Q198" s="152">
        <f t="shared" si="67"/>
        <v>0</v>
      </c>
      <c r="R198" s="152">
        <f t="shared" si="67"/>
        <v>0</v>
      </c>
      <c r="S198" s="402">
        <f t="shared" si="68"/>
        <v>0</v>
      </c>
      <c r="T198" s="404">
        <f t="shared" si="69"/>
        <v>0</v>
      </c>
      <c r="U198" s="403"/>
      <c r="W198" s="43" t="str">
        <f t="shared" si="53"/>
        <v/>
      </c>
      <c r="X198" s="43" t="str">
        <f t="shared" si="47"/>
        <v/>
      </c>
      <c r="Y198" s="43" t="str">
        <f t="shared" si="52"/>
        <v/>
      </c>
    </row>
    <row r="199" spans="1:25" ht="13.5" hidden="1" thickBot="1">
      <c r="A199" s="397" t="s">
        <v>217</v>
      </c>
      <c r="B199" s="165" t="s">
        <v>217</v>
      </c>
      <c r="C199" s="166"/>
      <c r="D199" s="167"/>
      <c r="E199" s="168"/>
      <c r="F199" s="169"/>
      <c r="G199" s="170"/>
      <c r="H199" s="171"/>
      <c r="I199" s="452"/>
      <c r="J199" s="454">
        <f t="shared" si="64"/>
        <v>0</v>
      </c>
      <c r="K199" s="392" t="s">
        <v>1029</v>
      </c>
      <c r="L199" s="152"/>
      <c r="M199" s="152"/>
      <c r="N199" s="402">
        <f t="shared" si="70"/>
        <v>0</v>
      </c>
      <c r="O199" s="402">
        <f t="shared" si="66"/>
        <v>0</v>
      </c>
      <c r="P199" s="403"/>
      <c r="Q199" s="152">
        <f t="shared" si="67"/>
        <v>0</v>
      </c>
      <c r="R199" s="152">
        <f t="shared" si="67"/>
        <v>0</v>
      </c>
      <c r="S199" s="402">
        <f t="shared" si="68"/>
        <v>0</v>
      </c>
      <c r="T199" s="404">
        <f t="shared" si="69"/>
        <v>0</v>
      </c>
      <c r="U199" s="403"/>
      <c r="W199" s="43" t="str">
        <f t="shared" si="53"/>
        <v/>
      </c>
      <c r="X199" s="43" t="str">
        <f t="shared" si="47"/>
        <v/>
      </c>
      <c r="Y199" s="43" t="str">
        <f t="shared" si="52"/>
        <v/>
      </c>
    </row>
    <row r="200" spans="1:25" ht="13.5" hidden="1" thickBot="1">
      <c r="A200" s="397" t="s">
        <v>217</v>
      </c>
      <c r="B200" s="165" t="s">
        <v>217</v>
      </c>
      <c r="C200" s="166"/>
      <c r="D200" s="167"/>
      <c r="E200" s="168"/>
      <c r="F200" s="169"/>
      <c r="G200" s="170"/>
      <c r="H200" s="171"/>
      <c r="I200" s="452"/>
      <c r="J200" s="454">
        <f t="shared" si="64"/>
        <v>0</v>
      </c>
      <c r="K200" s="392" t="s">
        <v>1029</v>
      </c>
      <c r="L200" s="152"/>
      <c r="M200" s="152"/>
      <c r="N200" s="402">
        <f t="shared" si="70"/>
        <v>0</v>
      </c>
      <c r="O200" s="402">
        <f t="shared" si="66"/>
        <v>0</v>
      </c>
      <c r="P200" s="403"/>
      <c r="Q200" s="152">
        <f t="shared" si="67"/>
        <v>0</v>
      </c>
      <c r="R200" s="152">
        <f t="shared" si="67"/>
        <v>0</v>
      </c>
      <c r="S200" s="402">
        <f t="shared" si="68"/>
        <v>0</v>
      </c>
      <c r="T200" s="404">
        <f t="shared" si="69"/>
        <v>0</v>
      </c>
      <c r="U200" s="403"/>
      <c r="W200" s="43" t="str">
        <f t="shared" si="53"/>
        <v/>
      </c>
      <c r="X200" s="43" t="str">
        <f t="shared" ref="X200:X263" si="71">IF(V200="X","x",IF(V200="y","x",IF(V200="xx","x",IF(T200&gt;0,"x",""))))</f>
        <v/>
      </c>
      <c r="Y200" s="43" t="str">
        <f t="shared" si="52"/>
        <v/>
      </c>
    </row>
    <row r="201" spans="1:25" ht="13.5" hidden="1" thickBot="1">
      <c r="A201" s="397" t="s">
        <v>217</v>
      </c>
      <c r="B201" s="165" t="s">
        <v>217</v>
      </c>
      <c r="C201" s="166"/>
      <c r="D201" s="167"/>
      <c r="E201" s="168"/>
      <c r="F201" s="169"/>
      <c r="G201" s="170"/>
      <c r="H201" s="171"/>
      <c r="I201" s="452"/>
      <c r="J201" s="454">
        <f t="shared" si="64"/>
        <v>0</v>
      </c>
      <c r="K201" s="392" t="s">
        <v>1029</v>
      </c>
      <c r="L201" s="152"/>
      <c r="M201" s="152"/>
      <c r="N201" s="402">
        <f t="shared" si="70"/>
        <v>0</v>
      </c>
      <c r="O201" s="402">
        <f t="shared" si="66"/>
        <v>0</v>
      </c>
      <c r="P201" s="403"/>
      <c r="Q201" s="152">
        <f t="shared" si="67"/>
        <v>0</v>
      </c>
      <c r="R201" s="152">
        <f t="shared" si="67"/>
        <v>0</v>
      </c>
      <c r="S201" s="402">
        <f t="shared" si="68"/>
        <v>0</v>
      </c>
      <c r="T201" s="404">
        <f t="shared" si="69"/>
        <v>0</v>
      </c>
      <c r="U201" s="403"/>
      <c r="W201" s="43" t="str">
        <f t="shared" si="53"/>
        <v/>
      </c>
      <c r="X201" s="43" t="str">
        <f t="shared" si="71"/>
        <v/>
      </c>
      <c r="Y201" s="43" t="str">
        <f t="shared" si="52"/>
        <v/>
      </c>
    </row>
    <row r="202" spans="1:25" ht="13.5" hidden="1" thickBot="1">
      <c r="A202" s="397" t="s">
        <v>217</v>
      </c>
      <c r="B202" s="165" t="s">
        <v>217</v>
      </c>
      <c r="C202" s="166"/>
      <c r="D202" s="167"/>
      <c r="E202" s="168"/>
      <c r="F202" s="169"/>
      <c r="G202" s="170"/>
      <c r="H202" s="171"/>
      <c r="I202" s="452"/>
      <c r="J202" s="454">
        <f t="shared" si="64"/>
        <v>0</v>
      </c>
      <c r="K202" s="392" t="s">
        <v>1029</v>
      </c>
      <c r="L202" s="152"/>
      <c r="M202" s="152"/>
      <c r="N202" s="402">
        <f t="shared" si="70"/>
        <v>0</v>
      </c>
      <c r="O202" s="402">
        <f t="shared" si="66"/>
        <v>0</v>
      </c>
      <c r="P202" s="403"/>
      <c r="Q202" s="152">
        <f t="shared" si="67"/>
        <v>0</v>
      </c>
      <c r="R202" s="152">
        <f t="shared" si="67"/>
        <v>0</v>
      </c>
      <c r="S202" s="402">
        <f t="shared" si="68"/>
        <v>0</v>
      </c>
      <c r="T202" s="404">
        <f t="shared" si="69"/>
        <v>0</v>
      </c>
      <c r="U202" s="403"/>
      <c r="W202" s="43" t="str">
        <f t="shared" si="53"/>
        <v/>
      </c>
      <c r="X202" s="43" t="str">
        <f t="shared" si="71"/>
        <v/>
      </c>
      <c r="Y202" s="43" t="str">
        <f t="shared" si="52"/>
        <v/>
      </c>
    </row>
    <row r="203" spans="1:25" ht="13.5" hidden="1" thickBot="1">
      <c r="A203" s="397" t="s">
        <v>217</v>
      </c>
      <c r="B203" s="165" t="s">
        <v>217</v>
      </c>
      <c r="C203" s="166"/>
      <c r="D203" s="167"/>
      <c r="E203" s="168"/>
      <c r="F203" s="169"/>
      <c r="G203" s="170"/>
      <c r="H203" s="171"/>
      <c r="I203" s="452"/>
      <c r="J203" s="454">
        <f t="shared" si="64"/>
        <v>0</v>
      </c>
      <c r="K203" s="392" t="s">
        <v>1029</v>
      </c>
      <c r="L203" s="152"/>
      <c r="M203" s="152"/>
      <c r="N203" s="402">
        <f t="shared" si="70"/>
        <v>0</v>
      </c>
      <c r="O203" s="402">
        <f t="shared" si="66"/>
        <v>0</v>
      </c>
      <c r="P203" s="403"/>
      <c r="Q203" s="152">
        <f t="shared" si="67"/>
        <v>0</v>
      </c>
      <c r="R203" s="152">
        <f t="shared" si="67"/>
        <v>0</v>
      </c>
      <c r="S203" s="402">
        <f t="shared" si="68"/>
        <v>0</v>
      </c>
      <c r="T203" s="404">
        <f t="shared" si="69"/>
        <v>0</v>
      </c>
      <c r="U203" s="403"/>
      <c r="W203" s="43" t="str">
        <f t="shared" si="53"/>
        <v/>
      </c>
      <c r="X203" s="43" t="str">
        <f t="shared" si="71"/>
        <v/>
      </c>
      <c r="Y203" s="43" t="str">
        <f t="shared" si="52"/>
        <v/>
      </c>
    </row>
    <row r="204" spans="1:25" ht="13.5" hidden="1" thickBot="1">
      <c r="A204" s="397" t="s">
        <v>217</v>
      </c>
      <c r="B204" s="165" t="s">
        <v>217</v>
      </c>
      <c r="C204" s="166"/>
      <c r="D204" s="167"/>
      <c r="E204" s="168"/>
      <c r="F204" s="169"/>
      <c r="G204" s="170"/>
      <c r="H204" s="171"/>
      <c r="I204" s="452"/>
      <c r="J204" s="454">
        <f t="shared" si="64"/>
        <v>0</v>
      </c>
      <c r="K204" s="392" t="s">
        <v>1029</v>
      </c>
      <c r="L204" s="152"/>
      <c r="M204" s="152"/>
      <c r="N204" s="402">
        <f t="shared" si="70"/>
        <v>0</v>
      </c>
      <c r="O204" s="402">
        <f t="shared" si="66"/>
        <v>0</v>
      </c>
      <c r="P204" s="403"/>
      <c r="Q204" s="152">
        <f t="shared" si="67"/>
        <v>0</v>
      </c>
      <c r="R204" s="152">
        <f t="shared" si="67"/>
        <v>0</v>
      </c>
      <c r="S204" s="402">
        <f t="shared" si="68"/>
        <v>0</v>
      </c>
      <c r="T204" s="404">
        <f t="shared" si="69"/>
        <v>0</v>
      </c>
      <c r="U204" s="403"/>
      <c r="W204" s="43" t="str">
        <f t="shared" si="53"/>
        <v/>
      </c>
      <c r="X204" s="43" t="str">
        <f t="shared" si="71"/>
        <v/>
      </c>
      <c r="Y204" s="43" t="str">
        <f t="shared" si="52"/>
        <v/>
      </c>
    </row>
    <row r="205" spans="1:25" ht="13.5" hidden="1" thickBot="1">
      <c r="A205" s="397" t="s">
        <v>217</v>
      </c>
      <c r="B205" s="165" t="s">
        <v>217</v>
      </c>
      <c r="C205" s="166"/>
      <c r="D205" s="167"/>
      <c r="E205" s="168"/>
      <c r="F205" s="169"/>
      <c r="G205" s="170"/>
      <c r="H205" s="171"/>
      <c r="I205" s="452"/>
      <c r="J205" s="454">
        <f t="shared" si="64"/>
        <v>0</v>
      </c>
      <c r="K205" s="392" t="s">
        <v>1029</v>
      </c>
      <c r="L205" s="152"/>
      <c r="M205" s="152"/>
      <c r="N205" s="402">
        <f t="shared" si="70"/>
        <v>0</v>
      </c>
      <c r="O205" s="402">
        <f t="shared" si="66"/>
        <v>0</v>
      </c>
      <c r="P205" s="403"/>
      <c r="Q205" s="152">
        <f t="shared" si="67"/>
        <v>0</v>
      </c>
      <c r="R205" s="152">
        <f t="shared" si="67"/>
        <v>0</v>
      </c>
      <c r="S205" s="402">
        <f t="shared" si="68"/>
        <v>0</v>
      </c>
      <c r="T205" s="404">
        <f t="shared" si="69"/>
        <v>0</v>
      </c>
      <c r="U205" s="403"/>
      <c r="W205" s="43" t="str">
        <f t="shared" si="53"/>
        <v/>
      </c>
      <c r="X205" s="43" t="str">
        <f t="shared" si="71"/>
        <v/>
      </c>
      <c r="Y205" s="43" t="str">
        <f t="shared" si="52"/>
        <v/>
      </c>
    </row>
    <row r="206" spans="1:25" ht="13.5" hidden="1" thickBot="1">
      <c r="A206" s="397" t="s">
        <v>217</v>
      </c>
      <c r="B206" s="165" t="s">
        <v>217</v>
      </c>
      <c r="C206" s="166"/>
      <c r="D206" s="167"/>
      <c r="E206" s="168"/>
      <c r="F206" s="169"/>
      <c r="G206" s="170"/>
      <c r="H206" s="171"/>
      <c r="I206" s="452"/>
      <c r="J206" s="454">
        <f t="shared" si="64"/>
        <v>0</v>
      </c>
      <c r="K206" s="392" t="s">
        <v>1029</v>
      </c>
      <c r="L206" s="152"/>
      <c r="M206" s="152"/>
      <c r="N206" s="402">
        <f t="shared" si="70"/>
        <v>0</v>
      </c>
      <c r="O206" s="402">
        <f t="shared" si="66"/>
        <v>0</v>
      </c>
      <c r="P206" s="403"/>
      <c r="Q206" s="152">
        <f t="shared" si="67"/>
        <v>0</v>
      </c>
      <c r="R206" s="152">
        <f t="shared" si="67"/>
        <v>0</v>
      </c>
      <c r="S206" s="402">
        <f t="shared" si="68"/>
        <v>0</v>
      </c>
      <c r="T206" s="404">
        <f t="shared" si="69"/>
        <v>0</v>
      </c>
      <c r="U206" s="403"/>
      <c r="W206" s="43" t="str">
        <f t="shared" si="53"/>
        <v/>
      </c>
      <c r="X206" s="43" t="str">
        <f t="shared" si="71"/>
        <v/>
      </c>
      <c r="Y206" s="43" t="str">
        <f t="shared" si="52"/>
        <v/>
      </c>
    </row>
    <row r="207" spans="1:25" ht="13.5" hidden="1" thickBot="1">
      <c r="A207" s="397" t="s">
        <v>217</v>
      </c>
      <c r="B207" s="165" t="s">
        <v>217</v>
      </c>
      <c r="C207" s="166"/>
      <c r="D207" s="167"/>
      <c r="E207" s="168"/>
      <c r="F207" s="169"/>
      <c r="G207" s="170"/>
      <c r="H207" s="171"/>
      <c r="I207" s="452"/>
      <c r="J207" s="454">
        <f t="shared" si="64"/>
        <v>0</v>
      </c>
      <c r="K207" s="392" t="s">
        <v>1029</v>
      </c>
      <c r="L207" s="152"/>
      <c r="M207" s="152"/>
      <c r="N207" s="402">
        <f t="shared" si="70"/>
        <v>0</v>
      </c>
      <c r="O207" s="402">
        <f t="shared" si="66"/>
        <v>0</v>
      </c>
      <c r="P207" s="403"/>
      <c r="Q207" s="152">
        <f t="shared" si="67"/>
        <v>0</v>
      </c>
      <c r="R207" s="152">
        <f t="shared" si="67"/>
        <v>0</v>
      </c>
      <c r="S207" s="402">
        <f t="shared" si="68"/>
        <v>0</v>
      </c>
      <c r="T207" s="404">
        <f t="shared" si="69"/>
        <v>0</v>
      </c>
      <c r="U207" s="403"/>
      <c r="W207" s="43" t="str">
        <f t="shared" si="53"/>
        <v/>
      </c>
      <c r="X207" s="43" t="str">
        <f t="shared" si="71"/>
        <v/>
      </c>
      <c r="Y207" s="43" t="str">
        <f t="shared" si="52"/>
        <v/>
      </c>
    </row>
    <row r="208" spans="1:25" ht="13.5" hidden="1" thickBot="1">
      <c r="A208" s="397" t="s">
        <v>217</v>
      </c>
      <c r="B208" s="165" t="s">
        <v>217</v>
      </c>
      <c r="C208" s="166"/>
      <c r="D208" s="167"/>
      <c r="E208" s="168"/>
      <c r="F208" s="169"/>
      <c r="G208" s="170"/>
      <c r="H208" s="171"/>
      <c r="I208" s="452"/>
      <c r="J208" s="454">
        <f t="shared" si="64"/>
        <v>0</v>
      </c>
      <c r="K208" s="392" t="s">
        <v>1029</v>
      </c>
      <c r="L208" s="152"/>
      <c r="M208" s="152"/>
      <c r="N208" s="402">
        <f t="shared" si="70"/>
        <v>0</v>
      </c>
      <c r="O208" s="402">
        <f t="shared" si="66"/>
        <v>0</v>
      </c>
      <c r="P208" s="403"/>
      <c r="Q208" s="152">
        <f t="shared" si="67"/>
        <v>0</v>
      </c>
      <c r="R208" s="152">
        <f t="shared" si="67"/>
        <v>0</v>
      </c>
      <c r="S208" s="402">
        <f t="shared" si="68"/>
        <v>0</v>
      </c>
      <c r="T208" s="404">
        <f t="shared" si="69"/>
        <v>0</v>
      </c>
      <c r="U208" s="403"/>
      <c r="W208" s="43" t="str">
        <f t="shared" si="53"/>
        <v/>
      </c>
      <c r="X208" s="43" t="str">
        <f t="shared" si="71"/>
        <v/>
      </c>
      <c r="Y208" s="43" t="str">
        <f t="shared" si="52"/>
        <v/>
      </c>
    </row>
    <row r="209" spans="1:25" ht="13.5" hidden="1" thickBot="1">
      <c r="A209" s="397" t="s">
        <v>217</v>
      </c>
      <c r="B209" s="165" t="s">
        <v>217</v>
      </c>
      <c r="C209" s="166"/>
      <c r="D209" s="167"/>
      <c r="E209" s="168"/>
      <c r="F209" s="169"/>
      <c r="G209" s="170"/>
      <c r="H209" s="171"/>
      <c r="I209" s="452"/>
      <c r="J209" s="454">
        <f t="shared" si="64"/>
        <v>0</v>
      </c>
      <c r="K209" s="392" t="s">
        <v>1029</v>
      </c>
      <c r="L209" s="152"/>
      <c r="M209" s="152"/>
      <c r="N209" s="402">
        <f t="shared" si="70"/>
        <v>0</v>
      </c>
      <c r="O209" s="402">
        <f t="shared" si="66"/>
        <v>0</v>
      </c>
      <c r="P209" s="403"/>
      <c r="Q209" s="152">
        <f t="shared" si="67"/>
        <v>0</v>
      </c>
      <c r="R209" s="152">
        <f t="shared" si="67"/>
        <v>0</v>
      </c>
      <c r="S209" s="402">
        <f t="shared" si="68"/>
        <v>0</v>
      </c>
      <c r="T209" s="404">
        <f t="shared" si="69"/>
        <v>0</v>
      </c>
      <c r="U209" s="403"/>
      <c r="W209" s="43" t="str">
        <f t="shared" si="53"/>
        <v/>
      </c>
      <c r="X209" s="43" t="str">
        <f t="shared" si="71"/>
        <v/>
      </c>
      <c r="Y209" s="43" t="str">
        <f t="shared" si="52"/>
        <v/>
      </c>
    </row>
    <row r="210" spans="1:25" ht="13.5" hidden="1" thickBot="1">
      <c r="A210" s="397" t="s">
        <v>217</v>
      </c>
      <c r="B210" s="165" t="s">
        <v>217</v>
      </c>
      <c r="C210" s="166"/>
      <c r="D210" s="167"/>
      <c r="E210" s="168"/>
      <c r="F210" s="169"/>
      <c r="G210" s="170"/>
      <c r="H210" s="171"/>
      <c r="I210" s="452"/>
      <c r="J210" s="454">
        <f t="shared" si="64"/>
        <v>0</v>
      </c>
      <c r="K210" s="392" t="s">
        <v>1029</v>
      </c>
      <c r="L210" s="152"/>
      <c r="M210" s="152"/>
      <c r="N210" s="402">
        <f t="shared" si="70"/>
        <v>0</v>
      </c>
      <c r="O210" s="402">
        <f t="shared" si="66"/>
        <v>0</v>
      </c>
      <c r="P210" s="403"/>
      <c r="Q210" s="152">
        <f t="shared" si="67"/>
        <v>0</v>
      </c>
      <c r="R210" s="152">
        <f t="shared" si="67"/>
        <v>0</v>
      </c>
      <c r="S210" s="402">
        <f t="shared" si="68"/>
        <v>0</v>
      </c>
      <c r="T210" s="404">
        <f t="shared" si="69"/>
        <v>0</v>
      </c>
      <c r="U210" s="403"/>
      <c r="W210" s="43" t="str">
        <f t="shared" si="53"/>
        <v/>
      </c>
      <c r="X210" s="43" t="str">
        <f t="shared" si="71"/>
        <v/>
      </c>
      <c r="Y210" s="43" t="str">
        <f t="shared" ref="Y210:Y273" si="72">IF(V210="X","x",IF(T210&gt;0,"x",""))</f>
        <v/>
      </c>
    </row>
    <row r="211" spans="1:25" ht="13.5" hidden="1" thickBot="1">
      <c r="A211" s="397" t="s">
        <v>217</v>
      </c>
      <c r="B211" s="165" t="s">
        <v>217</v>
      </c>
      <c r="C211" s="166"/>
      <c r="D211" s="167"/>
      <c r="E211" s="168"/>
      <c r="F211" s="169"/>
      <c r="G211" s="170"/>
      <c r="H211" s="171"/>
      <c r="I211" s="452"/>
      <c r="J211" s="454">
        <f t="shared" si="64"/>
        <v>0</v>
      </c>
      <c r="K211" s="392" t="s">
        <v>1029</v>
      </c>
      <c r="L211" s="152"/>
      <c r="M211" s="152"/>
      <c r="N211" s="402">
        <f t="shared" si="70"/>
        <v>0</v>
      </c>
      <c r="O211" s="402">
        <f t="shared" si="66"/>
        <v>0</v>
      </c>
      <c r="P211" s="403"/>
      <c r="Q211" s="152">
        <f t="shared" si="67"/>
        <v>0</v>
      </c>
      <c r="R211" s="152">
        <f t="shared" si="67"/>
        <v>0</v>
      </c>
      <c r="S211" s="402">
        <f t="shared" si="68"/>
        <v>0</v>
      </c>
      <c r="T211" s="404">
        <f t="shared" si="69"/>
        <v>0</v>
      </c>
      <c r="U211" s="403"/>
      <c r="W211" s="43" t="str">
        <f t="shared" si="53"/>
        <v/>
      </c>
      <c r="X211" s="43" t="str">
        <f t="shared" si="71"/>
        <v/>
      </c>
      <c r="Y211" s="43" t="str">
        <f t="shared" si="72"/>
        <v/>
      </c>
    </row>
    <row r="212" spans="1:25" ht="13.5" hidden="1" thickBot="1">
      <c r="A212" s="397" t="s">
        <v>217</v>
      </c>
      <c r="B212" s="165" t="s">
        <v>217</v>
      </c>
      <c r="C212" s="166"/>
      <c r="D212" s="167"/>
      <c r="E212" s="168"/>
      <c r="F212" s="169"/>
      <c r="G212" s="170"/>
      <c r="H212" s="171"/>
      <c r="I212" s="452"/>
      <c r="J212" s="454">
        <f t="shared" si="64"/>
        <v>0</v>
      </c>
      <c r="K212" s="392" t="s">
        <v>1029</v>
      </c>
      <c r="L212" s="152"/>
      <c r="M212" s="152"/>
      <c r="N212" s="402">
        <f t="shared" si="70"/>
        <v>0</v>
      </c>
      <c r="O212" s="402">
        <f t="shared" si="66"/>
        <v>0</v>
      </c>
      <c r="P212" s="403"/>
      <c r="Q212" s="152">
        <f t="shared" si="67"/>
        <v>0</v>
      </c>
      <c r="R212" s="152">
        <f t="shared" si="67"/>
        <v>0</v>
      </c>
      <c r="S212" s="402">
        <f t="shared" si="68"/>
        <v>0</v>
      </c>
      <c r="T212" s="404">
        <f t="shared" si="69"/>
        <v>0</v>
      </c>
      <c r="U212" s="403"/>
      <c r="W212" s="43" t="str">
        <f t="shared" si="53"/>
        <v/>
      </c>
      <c r="X212" s="43" t="str">
        <f t="shared" si="71"/>
        <v/>
      </c>
      <c r="Y212" s="43" t="str">
        <f t="shared" si="72"/>
        <v/>
      </c>
    </row>
    <row r="213" spans="1:25" ht="13.5" hidden="1" thickBot="1">
      <c r="A213" s="397" t="s">
        <v>217</v>
      </c>
      <c r="B213" s="165" t="s">
        <v>217</v>
      </c>
      <c r="C213" s="166"/>
      <c r="D213" s="167"/>
      <c r="E213" s="168"/>
      <c r="F213" s="169"/>
      <c r="G213" s="170"/>
      <c r="H213" s="171"/>
      <c r="I213" s="452"/>
      <c r="J213" s="454">
        <f t="shared" si="64"/>
        <v>0</v>
      </c>
      <c r="K213" s="392" t="s">
        <v>1029</v>
      </c>
      <c r="L213" s="152"/>
      <c r="M213" s="152"/>
      <c r="N213" s="402">
        <f t="shared" si="70"/>
        <v>0</v>
      </c>
      <c r="O213" s="402">
        <f t="shared" si="66"/>
        <v>0</v>
      </c>
      <c r="P213" s="403"/>
      <c r="Q213" s="152">
        <f t="shared" si="67"/>
        <v>0</v>
      </c>
      <c r="R213" s="152">
        <f t="shared" si="67"/>
        <v>0</v>
      </c>
      <c r="S213" s="402">
        <f t="shared" si="68"/>
        <v>0</v>
      </c>
      <c r="T213" s="404">
        <f t="shared" si="69"/>
        <v>0</v>
      </c>
      <c r="U213" s="403"/>
      <c r="W213" s="43" t="str">
        <f t="shared" si="53"/>
        <v/>
      </c>
      <c r="X213" s="43" t="str">
        <f t="shared" si="71"/>
        <v/>
      </c>
      <c r="Y213" s="43" t="str">
        <f t="shared" si="72"/>
        <v/>
      </c>
    </row>
    <row r="214" spans="1:25" ht="13.5" hidden="1" thickBot="1">
      <c r="A214" s="397" t="s">
        <v>217</v>
      </c>
      <c r="B214" s="165" t="s">
        <v>217</v>
      </c>
      <c r="C214" s="166"/>
      <c r="D214" s="167"/>
      <c r="E214" s="168"/>
      <c r="F214" s="169"/>
      <c r="G214" s="170"/>
      <c r="H214" s="171"/>
      <c r="I214" s="452"/>
      <c r="J214" s="454">
        <f t="shared" si="64"/>
        <v>0</v>
      </c>
      <c r="K214" s="392" t="s">
        <v>1029</v>
      </c>
      <c r="L214" s="152"/>
      <c r="M214" s="152"/>
      <c r="N214" s="402">
        <f t="shared" si="70"/>
        <v>0</v>
      </c>
      <c r="O214" s="402">
        <f t="shared" si="66"/>
        <v>0</v>
      </c>
      <c r="P214" s="403"/>
      <c r="Q214" s="152">
        <f t="shared" si="67"/>
        <v>0</v>
      </c>
      <c r="R214" s="152">
        <f t="shared" si="67"/>
        <v>0</v>
      </c>
      <c r="S214" s="402">
        <f t="shared" si="68"/>
        <v>0</v>
      </c>
      <c r="T214" s="404">
        <f t="shared" si="69"/>
        <v>0</v>
      </c>
      <c r="U214" s="403"/>
      <c r="W214" s="43" t="str">
        <f t="shared" si="53"/>
        <v/>
      </c>
      <c r="X214" s="43" t="str">
        <f t="shared" si="71"/>
        <v/>
      </c>
      <c r="Y214" s="43" t="str">
        <f t="shared" si="72"/>
        <v/>
      </c>
    </row>
    <row r="215" spans="1:25" ht="13.5" hidden="1" thickBot="1">
      <c r="A215" s="398" t="s">
        <v>217</v>
      </c>
      <c r="B215" s="172" t="s">
        <v>217</v>
      </c>
      <c r="C215" s="173"/>
      <c r="D215" s="174"/>
      <c r="E215" s="175"/>
      <c r="F215" s="176"/>
      <c r="G215" s="177"/>
      <c r="H215" s="178"/>
      <c r="I215" s="455"/>
      <c r="J215" s="456">
        <f t="shared" si="64"/>
        <v>0</v>
      </c>
      <c r="K215" s="393" t="s">
        <v>1029</v>
      </c>
      <c r="L215" s="152"/>
      <c r="M215" s="152"/>
      <c r="N215" s="163">
        <f t="shared" si="70"/>
        <v>0</v>
      </c>
      <c r="O215" s="163">
        <f t="shared" si="66"/>
        <v>0</v>
      </c>
      <c r="P215" s="403"/>
      <c r="Q215" s="152">
        <f t="shared" si="67"/>
        <v>0</v>
      </c>
      <c r="R215" s="152">
        <f t="shared" si="67"/>
        <v>0</v>
      </c>
      <c r="S215" s="163">
        <f t="shared" si="68"/>
        <v>0</v>
      </c>
      <c r="T215" s="179">
        <f t="shared" si="69"/>
        <v>0</v>
      </c>
      <c r="U215" s="403"/>
      <c r="W215" s="43" t="str">
        <f t="shared" ref="W215:W279" si="73">IF(V215="X","x",IF(V215="xx","x",IF(V215="xy","x",IF(V215="y","x",IF(OR(O215&gt;0,T215&gt;0),"x","")))))</f>
        <v/>
      </c>
      <c r="X215" s="43" t="str">
        <f t="shared" si="71"/>
        <v/>
      </c>
      <c r="Y215" s="43" t="str">
        <f t="shared" si="72"/>
        <v/>
      </c>
    </row>
    <row r="216" spans="1:25" ht="13.5" thickBot="1">
      <c r="A216" s="180" t="s">
        <v>264</v>
      </c>
      <c r="B216" s="181"/>
      <c r="C216" s="346" t="s">
        <v>593</v>
      </c>
      <c r="D216" s="137"/>
      <c r="E216" s="138"/>
      <c r="F216" s="139"/>
      <c r="G216" s="140"/>
      <c r="H216" s="141"/>
      <c r="I216" s="141"/>
      <c r="J216" s="141"/>
      <c r="K216" s="141" t="s">
        <v>1029</v>
      </c>
      <c r="L216" s="140"/>
      <c r="M216" s="141"/>
      <c r="N216" s="141"/>
      <c r="O216" s="142"/>
      <c r="P216" s="143">
        <f>SUM(O217:O379)</f>
        <v>467448.27</v>
      </c>
      <c r="Q216" s="140"/>
      <c r="R216" s="141"/>
      <c r="S216" s="141"/>
      <c r="T216" s="142"/>
      <c r="U216" s="143">
        <f>SUM(T217:T379)</f>
        <v>467448.27</v>
      </c>
      <c r="V216" s="144" t="str">
        <f>IF(OR(P216&gt;0,U216&gt;0),"X","")</f>
        <v>X</v>
      </c>
      <c r="W216" s="43" t="str">
        <f t="shared" si="73"/>
        <v>x</v>
      </c>
      <c r="X216" s="43" t="str">
        <f t="shared" si="71"/>
        <v>x</v>
      </c>
      <c r="Y216" s="43" t="str">
        <f t="shared" si="72"/>
        <v>x</v>
      </c>
    </row>
    <row r="217" spans="1:25">
      <c r="A217" s="409" t="s">
        <v>649</v>
      </c>
      <c r="B217" s="183" t="s">
        <v>626</v>
      </c>
      <c r="C217" s="411" t="s">
        <v>286</v>
      </c>
      <c r="D217" s="351"/>
      <c r="E217" s="405"/>
      <c r="F217" s="161"/>
      <c r="G217" s="158"/>
      <c r="H217" s="465">
        <v>0.29538461538461502</v>
      </c>
      <c r="I217" s="465">
        <f t="shared" ref="I217:I221" si="74">IF(ISBLANK(H217),"",SUM(G217:H217))</f>
        <v>0.29538461538461502</v>
      </c>
      <c r="J217" s="407">
        <f>IF(ISBLANK(H217),0,ROUND(I217*(1+$E$10)*(1+$E$11*D217),2))</f>
        <v>0.37</v>
      </c>
      <c r="K217" s="408" t="s">
        <v>18</v>
      </c>
      <c r="L217" s="152">
        <f>7665.92-325</f>
        <v>7340.92</v>
      </c>
      <c r="M217" s="152">
        <v>0.35</v>
      </c>
      <c r="N217" s="402">
        <f t="shared" ref="N217:N222" si="75">IF(ISBLANK(L217),0,ROUND(J217*L217,2))</f>
        <v>2716.14</v>
      </c>
      <c r="O217" s="402">
        <f t="shared" ref="O217:O222" si="76">IF(ISBLANK(M217),0,ROUND(L217*M217,2))</f>
        <v>2569.3200000000002</v>
      </c>
      <c r="P217" s="403"/>
      <c r="Q217" s="152">
        <f t="shared" ref="Q217:R232" si="77">L217</f>
        <v>7340.92</v>
      </c>
      <c r="R217" s="152">
        <v>0.35</v>
      </c>
      <c r="S217" s="402">
        <f t="shared" ref="S217:S222" si="78">IF(ISBLANK(Q217),0,ROUND(J217*Q217,2))</f>
        <v>2716.14</v>
      </c>
      <c r="T217" s="404">
        <f>IF(ISBLANK(Q217),0,ROUND(Q217*R217,2))</f>
        <v>2569.3200000000002</v>
      </c>
      <c r="U217" s="403"/>
      <c r="V217" s="160" t="s">
        <v>200</v>
      </c>
      <c r="W217" s="43" t="str">
        <f t="shared" si="73"/>
        <v>x</v>
      </c>
      <c r="X217" s="43" t="str">
        <f t="shared" si="71"/>
        <v>x</v>
      </c>
      <c r="Y217" s="43" t="str">
        <f t="shared" si="72"/>
        <v>x</v>
      </c>
    </row>
    <row r="218" spans="1:25" hidden="1">
      <c r="A218" s="409" t="s">
        <v>1035</v>
      </c>
      <c r="B218" s="183" t="s">
        <v>242</v>
      </c>
      <c r="C218" s="411" t="s">
        <v>597</v>
      </c>
      <c r="D218" s="351"/>
      <c r="E218" s="405">
        <v>500</v>
      </c>
      <c r="F218" s="161">
        <v>1.1999999999999999E-3</v>
      </c>
      <c r="G218" s="158">
        <f>(0.42*E218+20.61)*F218</f>
        <v>0.27673199999999998</v>
      </c>
      <c r="H218" s="465">
        <f>F218*1946.7*(1+$E$9)/(1+$E$10)+0.27</f>
        <v>2.4218097160883278</v>
      </c>
      <c r="I218" s="465">
        <f t="shared" si="74"/>
        <v>2.6985417160883278</v>
      </c>
      <c r="J218" s="407">
        <f>IF(ISBLANK(H218),0,ROUND(I218*(1+$E$10)*(1+$E$11*D218),2))</f>
        <v>3.42</v>
      </c>
      <c r="K218" s="408" t="s">
        <v>18</v>
      </c>
      <c r="L218" s="152"/>
      <c r="M218" s="152"/>
      <c r="N218" s="402">
        <f t="shared" si="75"/>
        <v>0</v>
      </c>
      <c r="O218" s="402">
        <f t="shared" si="76"/>
        <v>0</v>
      </c>
      <c r="P218" s="403"/>
      <c r="Q218" s="152">
        <f t="shared" si="77"/>
        <v>0</v>
      </c>
      <c r="R218" s="152">
        <f t="shared" si="77"/>
        <v>0</v>
      </c>
      <c r="S218" s="402">
        <f t="shared" si="78"/>
        <v>0</v>
      </c>
      <c r="T218" s="404">
        <f>IF(ISBLANK(Q218),0,ROUND(Q218*R218,2))</f>
        <v>0</v>
      </c>
      <c r="U218" s="403"/>
      <c r="W218" s="43" t="str">
        <f t="shared" si="73"/>
        <v/>
      </c>
      <c r="X218" s="43" t="str">
        <f t="shared" si="71"/>
        <v/>
      </c>
      <c r="Y218" s="43" t="str">
        <f t="shared" si="72"/>
        <v/>
      </c>
    </row>
    <row r="219" spans="1:25" hidden="1">
      <c r="A219" s="409" t="s">
        <v>1036</v>
      </c>
      <c r="B219" s="183" t="s">
        <v>242</v>
      </c>
      <c r="C219" s="411" t="s">
        <v>1037</v>
      </c>
      <c r="D219" s="351"/>
      <c r="E219" s="405">
        <v>500</v>
      </c>
      <c r="F219" s="161">
        <v>1.1000000000000001E-3</v>
      </c>
      <c r="G219" s="158">
        <f>(0.42*E219+20.61)*F219</f>
        <v>0.25367100000000004</v>
      </c>
      <c r="H219" s="465">
        <f>F219*2690.38*(1+$E$9)/(1+$E$10)+0.27</f>
        <v>2.9960254132492117</v>
      </c>
      <c r="I219" s="465">
        <f t="shared" ref="I219" si="79">IF(ISBLANK(H219),"",SUM(G219:H219))</f>
        <v>3.2496964132492119</v>
      </c>
      <c r="J219" s="407">
        <f>IF(ISBLANK(H219),0,ROUND(I219*(1+$E$10)*(1+$E$11*D219),2))</f>
        <v>4.12</v>
      </c>
      <c r="K219" s="408" t="s">
        <v>18</v>
      </c>
      <c r="L219" s="152">
        <v>0</v>
      </c>
      <c r="M219" s="152"/>
      <c r="N219" s="402">
        <f t="shared" si="75"/>
        <v>0</v>
      </c>
      <c r="O219" s="402">
        <f t="shared" si="76"/>
        <v>0</v>
      </c>
      <c r="P219" s="403"/>
      <c r="Q219" s="152">
        <f t="shared" si="77"/>
        <v>0</v>
      </c>
      <c r="R219" s="152">
        <f t="shared" si="77"/>
        <v>0</v>
      </c>
      <c r="S219" s="402">
        <f t="shared" si="78"/>
        <v>0</v>
      </c>
      <c r="T219" s="404">
        <f>IF(ISBLANK(Q219),0,ROUND(Q219*R219,2))</f>
        <v>0</v>
      </c>
      <c r="U219" s="403"/>
      <c r="W219" s="43" t="str">
        <f t="shared" si="73"/>
        <v/>
      </c>
      <c r="X219" s="43" t="str">
        <f t="shared" si="71"/>
        <v/>
      </c>
      <c r="Y219" s="43" t="str">
        <f t="shared" si="72"/>
        <v/>
      </c>
    </row>
    <row r="220" spans="1:25">
      <c r="A220" s="409">
        <v>560400</v>
      </c>
      <c r="B220" s="183" t="s">
        <v>242</v>
      </c>
      <c r="C220" s="411" t="s">
        <v>598</v>
      </c>
      <c r="D220" s="351">
        <v>1</v>
      </c>
      <c r="E220" s="405">
        <v>550</v>
      </c>
      <c r="F220" s="161">
        <v>1.1999999999999999E-3</v>
      </c>
      <c r="G220" s="158">
        <f>(0.42*E220+20.61)*F220</f>
        <v>0.30193199999999998</v>
      </c>
      <c r="H220" s="465">
        <f>F220*3514.38*(1+$E$9)/(1+$E$10)+0.27</f>
        <v>4.1546648328075708</v>
      </c>
      <c r="I220" s="465">
        <f t="shared" si="74"/>
        <v>4.4565968328075707</v>
      </c>
      <c r="J220" s="407">
        <f>IF(ISBLANK(H220),0,ROUND(I220*(1+$E$10)*(1+$E$11*D220),2))</f>
        <v>5.65</v>
      </c>
      <c r="K220" s="408" t="s">
        <v>18</v>
      </c>
      <c r="L220" s="152">
        <v>325</v>
      </c>
      <c r="M220" s="152">
        <v>5.65</v>
      </c>
      <c r="N220" s="402">
        <f t="shared" si="75"/>
        <v>1836.25</v>
      </c>
      <c r="O220" s="402">
        <f t="shared" si="76"/>
        <v>1836.25</v>
      </c>
      <c r="P220" s="403"/>
      <c r="Q220" s="152">
        <f t="shared" si="77"/>
        <v>325</v>
      </c>
      <c r="R220" s="152">
        <f t="shared" si="77"/>
        <v>5.65</v>
      </c>
      <c r="S220" s="402">
        <f t="shared" si="78"/>
        <v>1836.25</v>
      </c>
      <c r="T220" s="404">
        <f>IF(ISBLANK(Q220),0,ROUND(Q220*R220,2))</f>
        <v>1836.25</v>
      </c>
      <c r="U220" s="403"/>
      <c r="W220" s="43" t="str">
        <f t="shared" si="73"/>
        <v>x</v>
      </c>
      <c r="X220" s="43" t="str">
        <f t="shared" si="71"/>
        <v>x</v>
      </c>
      <c r="Y220" s="43" t="str">
        <f t="shared" si="72"/>
        <v>x</v>
      </c>
    </row>
    <row r="221" spans="1:25">
      <c r="A221" s="409">
        <v>561100</v>
      </c>
      <c r="B221" s="183" t="s">
        <v>242</v>
      </c>
      <c r="C221" s="411" t="s">
        <v>599</v>
      </c>
      <c r="D221" s="351">
        <v>1</v>
      </c>
      <c r="E221" s="405">
        <v>550</v>
      </c>
      <c r="F221" s="161">
        <v>5.0000000000000001E-4</v>
      </c>
      <c r="G221" s="158">
        <f>(0.42*E221+20.61)*F221</f>
        <v>0.125805</v>
      </c>
      <c r="H221" s="465">
        <f>F221*1946.7*(1+$E$9)/(1+$E$10)+0.18</f>
        <v>1.0765873817034699</v>
      </c>
      <c r="I221" s="465">
        <f t="shared" si="74"/>
        <v>1.2023923817034698</v>
      </c>
      <c r="J221" s="407">
        <f>IF(ISBLANK(H221),0,ROUND(I221*(1+$E$10)*(1+$E$11*D221),2))</f>
        <v>1.52</v>
      </c>
      <c r="K221" s="408" t="s">
        <v>18</v>
      </c>
      <c r="L221" s="152">
        <f>(L217+L220)*2</f>
        <v>15331.84</v>
      </c>
      <c r="M221" s="152">
        <v>1.5</v>
      </c>
      <c r="N221" s="402">
        <f t="shared" si="75"/>
        <v>23304.400000000001</v>
      </c>
      <c r="O221" s="402">
        <f t="shared" si="76"/>
        <v>22997.759999999998</v>
      </c>
      <c r="P221" s="403"/>
      <c r="Q221" s="152">
        <f t="shared" si="77"/>
        <v>15331.84</v>
      </c>
      <c r="R221" s="152">
        <v>1.5</v>
      </c>
      <c r="S221" s="402">
        <f t="shared" si="78"/>
        <v>23304.400000000001</v>
      </c>
      <c r="T221" s="404">
        <f>IF(ISBLANK(Q221),0,ROUND(Q221*R221,2))</f>
        <v>22997.759999999998</v>
      </c>
      <c r="U221" s="403"/>
      <c r="V221" s="160" t="s">
        <v>200</v>
      </c>
      <c r="W221" s="43" t="str">
        <f t="shared" si="73"/>
        <v>x</v>
      </c>
      <c r="X221" s="43" t="str">
        <f t="shared" si="71"/>
        <v>x</v>
      </c>
      <c r="Y221" s="43" t="str">
        <f t="shared" si="72"/>
        <v>x</v>
      </c>
    </row>
    <row r="222" spans="1:25" hidden="1">
      <c r="A222" s="409">
        <v>521450</v>
      </c>
      <c r="B222" s="183" t="s">
        <v>242</v>
      </c>
      <c r="C222" s="411" t="s">
        <v>287</v>
      </c>
      <c r="D222" s="351"/>
      <c r="E222" s="405">
        <v>20</v>
      </c>
      <c r="F222" s="161">
        <v>0.3</v>
      </c>
      <c r="G222" s="412">
        <f>IF(E222&lt;=30,(0.6*E222+1.25)*F222,((0.6*30+1.25)+0.5*(E222-30))*F222)</f>
        <v>3.9749999999999996</v>
      </c>
      <c r="H222" s="465">
        <f>"0,40"+"0,69"+"7,26"+"0,53"+"10,92"+"0,13"</f>
        <v>19.929999999999996</v>
      </c>
      <c r="I222" s="465">
        <f t="shared" ref="I222" si="80">IF(ISBLANK(H222),"",SUM(G222:H222))</f>
        <v>23.904999999999994</v>
      </c>
      <c r="J222" s="407">
        <f t="shared" ref="J222:J285" si="81">IF(ISBLANK(H222),0,ROUND(I222*(1+$E$10)*(1+$E$11*D222),2))</f>
        <v>30.31</v>
      </c>
      <c r="K222" s="408" t="s">
        <v>18</v>
      </c>
      <c r="L222" s="152">
        <v>0</v>
      </c>
      <c r="M222" s="152"/>
      <c r="N222" s="402">
        <f t="shared" si="75"/>
        <v>0</v>
      </c>
      <c r="O222" s="402">
        <f t="shared" si="76"/>
        <v>0</v>
      </c>
      <c r="P222" s="403"/>
      <c r="Q222" s="152">
        <f t="shared" si="77"/>
        <v>0</v>
      </c>
      <c r="R222" s="152">
        <f t="shared" si="77"/>
        <v>0</v>
      </c>
      <c r="S222" s="402">
        <f t="shared" si="78"/>
        <v>0</v>
      </c>
      <c r="T222" s="404">
        <f t="shared" ref="T222:T285" si="82">IF(ISBLANK(Q222),0,ROUND(Q222*R222,2))</f>
        <v>0</v>
      </c>
      <c r="U222" s="403"/>
      <c r="W222" s="43" t="str">
        <f t="shared" si="73"/>
        <v/>
      </c>
      <c r="X222" s="43" t="str">
        <f t="shared" si="71"/>
        <v/>
      </c>
      <c r="Y222" s="43" t="str">
        <f t="shared" si="72"/>
        <v/>
      </c>
    </row>
    <row r="223" spans="1:25" hidden="1">
      <c r="A223" s="155" t="s">
        <v>19</v>
      </c>
      <c r="B223" s="156" t="s">
        <v>242</v>
      </c>
      <c r="C223" s="411" t="s">
        <v>288</v>
      </c>
      <c r="D223" s="351"/>
      <c r="E223" s="405">
        <v>20</v>
      </c>
      <c r="F223" s="161">
        <v>7.6999999999999999E-2</v>
      </c>
      <c r="G223" s="412">
        <f>IF(E223&lt;=30,(0.6*E223+1.25)*F223,((0.6*30+1.25)+0.5*(E223-30))*F223)</f>
        <v>1.0202499999999999</v>
      </c>
      <c r="H223" s="465">
        <v>8.5399999999999991</v>
      </c>
      <c r="I223" s="465">
        <f>IF(ISBLANK(H223),"",SUM(G223:H223))</f>
        <v>9.5602499999999999</v>
      </c>
      <c r="J223" s="407">
        <f t="shared" si="81"/>
        <v>12.12</v>
      </c>
      <c r="K223" s="408" t="s">
        <v>20</v>
      </c>
      <c r="L223" s="152">
        <v>0</v>
      </c>
      <c r="M223" s="152"/>
      <c r="N223" s="402">
        <f t="shared" si="58"/>
        <v>0</v>
      </c>
      <c r="O223" s="402">
        <f t="shared" si="59"/>
        <v>0</v>
      </c>
      <c r="P223" s="403"/>
      <c r="Q223" s="152">
        <f t="shared" si="77"/>
        <v>0</v>
      </c>
      <c r="R223" s="152">
        <f t="shared" si="77"/>
        <v>0</v>
      </c>
      <c r="S223" s="402">
        <f t="shared" si="60"/>
        <v>0</v>
      </c>
      <c r="T223" s="404">
        <f t="shared" si="82"/>
        <v>0</v>
      </c>
      <c r="U223" s="403"/>
      <c r="W223" s="43" t="str">
        <f t="shared" si="73"/>
        <v/>
      </c>
      <c r="X223" s="43" t="str">
        <f t="shared" si="71"/>
        <v/>
      </c>
      <c r="Y223" s="43" t="str">
        <f t="shared" si="72"/>
        <v/>
      </c>
    </row>
    <row r="224" spans="1:25" hidden="1">
      <c r="A224" s="155" t="s">
        <v>21</v>
      </c>
      <c r="B224" s="156" t="s">
        <v>242</v>
      </c>
      <c r="C224" s="411" t="s">
        <v>629</v>
      </c>
      <c r="D224" s="351"/>
      <c r="E224" s="405"/>
      <c r="F224" s="161"/>
      <c r="G224" s="158"/>
      <c r="H224" s="465">
        <v>5.7734138972809674</v>
      </c>
      <c r="I224" s="465">
        <f>IF(ISBLANK(H224),"",SUM(G224:H224))</f>
        <v>5.7734138972809674</v>
      </c>
      <c r="J224" s="407">
        <f t="shared" si="81"/>
        <v>7.32</v>
      </c>
      <c r="K224" s="408" t="s">
        <v>18</v>
      </c>
      <c r="L224" s="152"/>
      <c r="M224" s="152"/>
      <c r="N224" s="402">
        <f t="shared" si="58"/>
        <v>0</v>
      </c>
      <c r="O224" s="402">
        <f t="shared" si="59"/>
        <v>0</v>
      </c>
      <c r="P224" s="403"/>
      <c r="Q224" s="152">
        <f t="shared" si="77"/>
        <v>0</v>
      </c>
      <c r="R224" s="152">
        <f t="shared" si="77"/>
        <v>0</v>
      </c>
      <c r="S224" s="402">
        <f t="shared" si="60"/>
        <v>0</v>
      </c>
      <c r="T224" s="404">
        <f t="shared" si="82"/>
        <v>0</v>
      </c>
      <c r="U224" s="403"/>
      <c r="W224" s="43" t="str">
        <f t="shared" si="73"/>
        <v/>
      </c>
      <c r="X224" s="43" t="str">
        <f t="shared" si="71"/>
        <v/>
      </c>
      <c r="Y224" s="43" t="str">
        <f t="shared" si="72"/>
        <v/>
      </c>
    </row>
    <row r="225" spans="1:25" hidden="1">
      <c r="A225" s="155" t="s">
        <v>21</v>
      </c>
      <c r="B225" s="156" t="s">
        <v>242</v>
      </c>
      <c r="C225" s="411" t="s">
        <v>289</v>
      </c>
      <c r="D225" s="351"/>
      <c r="E225" s="405"/>
      <c r="F225" s="161"/>
      <c r="G225" s="158"/>
      <c r="H225" s="465">
        <v>10.192</v>
      </c>
      <c r="I225" s="465">
        <f>IF(ISBLANK(H225),"",SUM(G225:H225))</f>
        <v>10.192</v>
      </c>
      <c r="J225" s="407">
        <f t="shared" si="81"/>
        <v>12.92</v>
      </c>
      <c r="K225" s="408" t="s">
        <v>18</v>
      </c>
      <c r="L225" s="152">
        <v>0</v>
      </c>
      <c r="M225" s="152"/>
      <c r="N225" s="402">
        <f t="shared" si="58"/>
        <v>0</v>
      </c>
      <c r="O225" s="402">
        <f t="shared" si="59"/>
        <v>0</v>
      </c>
      <c r="P225" s="403"/>
      <c r="Q225" s="152">
        <f t="shared" si="77"/>
        <v>0</v>
      </c>
      <c r="R225" s="152">
        <f t="shared" si="77"/>
        <v>0</v>
      </c>
      <c r="S225" s="402">
        <f t="shared" si="60"/>
        <v>0</v>
      </c>
      <c r="T225" s="404">
        <f t="shared" si="82"/>
        <v>0</v>
      </c>
      <c r="U225" s="403"/>
      <c r="W225" s="43" t="str">
        <f t="shared" si="73"/>
        <v/>
      </c>
      <c r="X225" s="43" t="str">
        <f t="shared" si="71"/>
        <v/>
      </c>
      <c r="Y225" s="43" t="str">
        <f t="shared" si="72"/>
        <v/>
      </c>
    </row>
    <row r="226" spans="1:25" hidden="1">
      <c r="A226" s="155">
        <v>535000</v>
      </c>
      <c r="B226" s="156" t="s">
        <v>242</v>
      </c>
      <c r="C226" s="411" t="s">
        <v>290</v>
      </c>
      <c r="D226" s="351"/>
      <c r="E226" s="405">
        <v>20</v>
      </c>
      <c r="F226" s="406">
        <v>0.27200000000000002</v>
      </c>
      <c r="G226" s="412">
        <f t="shared" ref="G226:G248" si="83">IF(E226&lt;=30,(0.6*E226+1.25)*F226,((0.6*30+1.25)+0.5*(E226-30))*F226)</f>
        <v>3.6040000000000001</v>
      </c>
      <c r="H226" s="465">
        <v>71.290000000000006</v>
      </c>
      <c r="I226" s="465">
        <f>IF(ISBLANK(H226),"",SUM(G226:H226))*0.85</f>
        <v>63.6599</v>
      </c>
      <c r="J226" s="407">
        <f t="shared" si="81"/>
        <v>80.72</v>
      </c>
      <c r="K226" s="408" t="s">
        <v>18</v>
      </c>
      <c r="L226" s="152">
        <v>0</v>
      </c>
      <c r="M226" s="152"/>
      <c r="N226" s="402">
        <f t="shared" si="58"/>
        <v>0</v>
      </c>
      <c r="O226" s="402">
        <f t="shared" si="59"/>
        <v>0</v>
      </c>
      <c r="P226" s="403"/>
      <c r="Q226" s="152">
        <f t="shared" si="77"/>
        <v>0</v>
      </c>
      <c r="R226" s="152">
        <f t="shared" si="77"/>
        <v>0</v>
      </c>
      <c r="S226" s="402">
        <f t="shared" si="60"/>
        <v>0</v>
      </c>
      <c r="T226" s="404">
        <f t="shared" si="82"/>
        <v>0</v>
      </c>
      <c r="U226" s="403"/>
      <c r="W226" s="43" t="str">
        <f t="shared" si="73"/>
        <v/>
      </c>
      <c r="X226" s="43" t="str">
        <f t="shared" si="71"/>
        <v/>
      </c>
      <c r="Y226" s="43" t="str">
        <f t="shared" si="72"/>
        <v/>
      </c>
    </row>
    <row r="227" spans="1:25" hidden="1">
      <c r="A227" s="155" t="s">
        <v>268</v>
      </c>
      <c r="B227" s="156" t="s">
        <v>242</v>
      </c>
      <c r="C227" s="411" t="s">
        <v>291</v>
      </c>
      <c r="D227" s="351"/>
      <c r="E227" s="405">
        <v>20</v>
      </c>
      <c r="F227" s="406">
        <f>2*0.04</f>
        <v>0.08</v>
      </c>
      <c r="G227" s="412">
        <f t="shared" si="83"/>
        <v>1.06</v>
      </c>
      <c r="H227" s="465">
        <v>40.69</v>
      </c>
      <c r="I227" s="465">
        <f>IF(ISBLANK(H227),"",SUM(G227:H227))</f>
        <v>41.75</v>
      </c>
      <c r="J227" s="407">
        <f t="shared" si="81"/>
        <v>52.94</v>
      </c>
      <c r="K227" s="408" t="s">
        <v>18</v>
      </c>
      <c r="L227" s="152">
        <v>0</v>
      </c>
      <c r="M227" s="152"/>
      <c r="N227" s="402">
        <f t="shared" si="58"/>
        <v>0</v>
      </c>
      <c r="O227" s="402">
        <f t="shared" si="59"/>
        <v>0</v>
      </c>
      <c r="P227" s="403"/>
      <c r="Q227" s="152">
        <f t="shared" si="77"/>
        <v>0</v>
      </c>
      <c r="R227" s="152">
        <f t="shared" si="77"/>
        <v>0</v>
      </c>
      <c r="S227" s="402">
        <f t="shared" si="60"/>
        <v>0</v>
      </c>
      <c r="T227" s="404">
        <f t="shared" si="82"/>
        <v>0</v>
      </c>
      <c r="U227" s="403"/>
      <c r="W227" s="43" t="str">
        <f t="shared" si="73"/>
        <v/>
      </c>
      <c r="X227" s="43" t="str">
        <f t="shared" si="71"/>
        <v/>
      </c>
      <c r="Y227" s="43" t="str">
        <f t="shared" si="72"/>
        <v/>
      </c>
    </row>
    <row r="228" spans="1:25" hidden="1">
      <c r="A228" s="155" t="s">
        <v>269</v>
      </c>
      <c r="B228" s="156" t="s">
        <v>242</v>
      </c>
      <c r="C228" s="411" t="s">
        <v>292</v>
      </c>
      <c r="D228" s="351"/>
      <c r="E228" s="405">
        <v>20</v>
      </c>
      <c r="F228" s="406">
        <f>2*0.05</f>
        <v>0.1</v>
      </c>
      <c r="G228" s="412">
        <f t="shared" si="83"/>
        <v>1.3250000000000002</v>
      </c>
      <c r="H228" s="465">
        <v>42.46</v>
      </c>
      <c r="I228" s="465">
        <f t="shared" ref="I228:I247" si="84">IF(ISBLANK(H228),"",SUM(G228:H228))</f>
        <v>43.785000000000004</v>
      </c>
      <c r="J228" s="407">
        <f t="shared" si="81"/>
        <v>55.52</v>
      </c>
      <c r="K228" s="408" t="s">
        <v>18</v>
      </c>
      <c r="L228" s="152">
        <v>0</v>
      </c>
      <c r="M228" s="152"/>
      <c r="N228" s="402">
        <f t="shared" si="58"/>
        <v>0</v>
      </c>
      <c r="O228" s="402">
        <f t="shared" si="59"/>
        <v>0</v>
      </c>
      <c r="P228" s="403"/>
      <c r="Q228" s="152">
        <f t="shared" si="77"/>
        <v>0</v>
      </c>
      <c r="R228" s="152">
        <f t="shared" si="77"/>
        <v>0</v>
      </c>
      <c r="S228" s="402">
        <f t="shared" si="60"/>
        <v>0</v>
      </c>
      <c r="T228" s="404">
        <f t="shared" si="82"/>
        <v>0</v>
      </c>
      <c r="U228" s="403"/>
      <c r="W228" s="43" t="str">
        <f t="shared" si="73"/>
        <v/>
      </c>
      <c r="X228" s="43" t="str">
        <f t="shared" si="71"/>
        <v/>
      </c>
      <c r="Y228" s="43" t="str">
        <f t="shared" si="72"/>
        <v/>
      </c>
    </row>
    <row r="229" spans="1:25" hidden="1">
      <c r="A229" s="155" t="s">
        <v>270</v>
      </c>
      <c r="B229" s="156" t="s">
        <v>242</v>
      </c>
      <c r="C229" s="411" t="s">
        <v>293</v>
      </c>
      <c r="D229" s="351"/>
      <c r="E229" s="405">
        <v>20</v>
      </c>
      <c r="F229" s="406">
        <f>2*0.06</f>
        <v>0.12</v>
      </c>
      <c r="G229" s="412">
        <f t="shared" si="83"/>
        <v>1.5899999999999999</v>
      </c>
      <c r="H229" s="465">
        <v>44.23</v>
      </c>
      <c r="I229" s="465">
        <f t="shared" si="84"/>
        <v>45.819999999999993</v>
      </c>
      <c r="J229" s="407">
        <f t="shared" si="81"/>
        <v>58.1</v>
      </c>
      <c r="K229" s="408" t="s">
        <v>18</v>
      </c>
      <c r="L229" s="152">
        <v>0</v>
      </c>
      <c r="M229" s="152"/>
      <c r="N229" s="402">
        <f t="shared" si="58"/>
        <v>0</v>
      </c>
      <c r="O229" s="402">
        <f t="shared" si="59"/>
        <v>0</v>
      </c>
      <c r="P229" s="403"/>
      <c r="Q229" s="152">
        <f t="shared" si="77"/>
        <v>0</v>
      </c>
      <c r="R229" s="152">
        <f t="shared" si="77"/>
        <v>0</v>
      </c>
      <c r="S229" s="402">
        <f t="shared" si="60"/>
        <v>0</v>
      </c>
      <c r="T229" s="404">
        <f t="shared" si="82"/>
        <v>0</v>
      </c>
      <c r="U229" s="403"/>
      <c r="W229" s="43" t="str">
        <f t="shared" si="73"/>
        <v/>
      </c>
      <c r="X229" s="43" t="str">
        <f t="shared" si="71"/>
        <v/>
      </c>
      <c r="Y229" s="43" t="str">
        <f t="shared" si="72"/>
        <v/>
      </c>
    </row>
    <row r="230" spans="1:25" hidden="1">
      <c r="A230" s="155" t="s">
        <v>271</v>
      </c>
      <c r="B230" s="156" t="s">
        <v>242</v>
      </c>
      <c r="C230" s="411" t="s">
        <v>294</v>
      </c>
      <c r="D230" s="351"/>
      <c r="E230" s="405">
        <v>20</v>
      </c>
      <c r="F230" s="406">
        <f>2*0.07</f>
        <v>0.14000000000000001</v>
      </c>
      <c r="G230" s="412">
        <f t="shared" si="83"/>
        <v>1.8550000000000002</v>
      </c>
      <c r="H230" s="465">
        <v>46.44</v>
      </c>
      <c r="I230" s="465">
        <f t="shared" si="84"/>
        <v>48.294999999999995</v>
      </c>
      <c r="J230" s="407">
        <f t="shared" si="81"/>
        <v>61.24</v>
      </c>
      <c r="K230" s="408" t="s">
        <v>18</v>
      </c>
      <c r="L230" s="152">
        <v>0</v>
      </c>
      <c r="M230" s="152"/>
      <c r="N230" s="402">
        <f t="shared" si="58"/>
        <v>0</v>
      </c>
      <c r="O230" s="402">
        <f t="shared" si="59"/>
        <v>0</v>
      </c>
      <c r="P230" s="403"/>
      <c r="Q230" s="152">
        <f t="shared" si="77"/>
        <v>0</v>
      </c>
      <c r="R230" s="152">
        <f t="shared" si="77"/>
        <v>0</v>
      </c>
      <c r="S230" s="402">
        <f t="shared" si="60"/>
        <v>0</v>
      </c>
      <c r="T230" s="404">
        <f t="shared" si="82"/>
        <v>0</v>
      </c>
      <c r="U230" s="403"/>
      <c r="W230" s="43" t="str">
        <f t="shared" si="73"/>
        <v/>
      </c>
      <c r="X230" s="43" t="str">
        <f t="shared" si="71"/>
        <v/>
      </c>
      <c r="Y230" s="43" t="str">
        <f t="shared" si="72"/>
        <v/>
      </c>
    </row>
    <row r="231" spans="1:25" hidden="1">
      <c r="A231" s="155" t="s">
        <v>272</v>
      </c>
      <c r="B231" s="156" t="s">
        <v>242</v>
      </c>
      <c r="C231" s="411" t="s">
        <v>295</v>
      </c>
      <c r="D231" s="351"/>
      <c r="E231" s="405">
        <v>20</v>
      </c>
      <c r="F231" s="406">
        <f>2*0.08</f>
        <v>0.16</v>
      </c>
      <c r="G231" s="412">
        <f t="shared" si="83"/>
        <v>2.12</v>
      </c>
      <c r="H231" s="465">
        <v>48.65</v>
      </c>
      <c r="I231" s="465">
        <f t="shared" si="84"/>
        <v>50.769999999999996</v>
      </c>
      <c r="J231" s="407">
        <f t="shared" si="81"/>
        <v>64.38</v>
      </c>
      <c r="K231" s="408" t="s">
        <v>18</v>
      </c>
      <c r="L231" s="152">
        <v>0</v>
      </c>
      <c r="M231" s="152"/>
      <c r="N231" s="402">
        <f t="shared" si="58"/>
        <v>0</v>
      </c>
      <c r="O231" s="402">
        <f t="shared" si="59"/>
        <v>0</v>
      </c>
      <c r="P231" s="403"/>
      <c r="Q231" s="152">
        <f t="shared" si="77"/>
        <v>0</v>
      </c>
      <c r="R231" s="152">
        <f t="shared" si="77"/>
        <v>0</v>
      </c>
      <c r="S231" s="402">
        <f t="shared" si="60"/>
        <v>0</v>
      </c>
      <c r="T231" s="404">
        <f t="shared" si="82"/>
        <v>0</v>
      </c>
      <c r="U231" s="403"/>
      <c r="W231" s="43" t="str">
        <f t="shared" si="73"/>
        <v/>
      </c>
      <c r="X231" s="43" t="str">
        <f t="shared" si="71"/>
        <v/>
      </c>
      <c r="Y231" s="43" t="str">
        <f t="shared" si="72"/>
        <v/>
      </c>
    </row>
    <row r="232" spans="1:25" hidden="1">
      <c r="A232" s="155" t="s">
        <v>273</v>
      </c>
      <c r="B232" s="156" t="s">
        <v>242</v>
      </c>
      <c r="C232" s="411" t="s">
        <v>296</v>
      </c>
      <c r="D232" s="351"/>
      <c r="E232" s="405">
        <v>20</v>
      </c>
      <c r="F232" s="406">
        <f>2*0.1</f>
        <v>0.2</v>
      </c>
      <c r="G232" s="412">
        <f t="shared" si="83"/>
        <v>2.6500000000000004</v>
      </c>
      <c r="H232" s="465">
        <v>54.443758620689657</v>
      </c>
      <c r="I232" s="465">
        <f t="shared" si="84"/>
        <v>57.093758620689655</v>
      </c>
      <c r="J232" s="407">
        <f t="shared" si="81"/>
        <v>72.39</v>
      </c>
      <c r="K232" s="408" t="s">
        <v>18</v>
      </c>
      <c r="L232" s="152">
        <v>0</v>
      </c>
      <c r="M232" s="152"/>
      <c r="N232" s="402">
        <f t="shared" si="58"/>
        <v>0</v>
      </c>
      <c r="O232" s="402">
        <f t="shared" si="59"/>
        <v>0</v>
      </c>
      <c r="P232" s="403"/>
      <c r="Q232" s="152">
        <f t="shared" si="77"/>
        <v>0</v>
      </c>
      <c r="R232" s="152">
        <f t="shared" si="77"/>
        <v>0</v>
      </c>
      <c r="S232" s="402">
        <f t="shared" si="60"/>
        <v>0</v>
      </c>
      <c r="T232" s="404">
        <f t="shared" si="82"/>
        <v>0</v>
      </c>
      <c r="U232" s="403"/>
      <c r="W232" s="43" t="str">
        <f t="shared" si="73"/>
        <v/>
      </c>
      <c r="X232" s="43" t="str">
        <f t="shared" si="71"/>
        <v/>
      </c>
      <c r="Y232" s="43" t="str">
        <f t="shared" si="72"/>
        <v/>
      </c>
    </row>
    <row r="233" spans="1:25" hidden="1">
      <c r="A233" s="155" t="s">
        <v>188</v>
      </c>
      <c r="B233" s="156" t="s">
        <v>242</v>
      </c>
      <c r="C233" s="411" t="s">
        <v>297</v>
      </c>
      <c r="D233" s="351"/>
      <c r="E233" s="405">
        <v>20</v>
      </c>
      <c r="F233" s="406">
        <f>2*0.04</f>
        <v>0.08</v>
      </c>
      <c r="G233" s="412">
        <f t="shared" si="83"/>
        <v>1.06</v>
      </c>
      <c r="H233" s="465">
        <v>40.69</v>
      </c>
      <c r="I233" s="465">
        <f t="shared" si="84"/>
        <v>41.75</v>
      </c>
      <c r="J233" s="407">
        <f t="shared" si="81"/>
        <v>52.94</v>
      </c>
      <c r="K233" s="408" t="s">
        <v>18</v>
      </c>
      <c r="L233" s="152">
        <v>0</v>
      </c>
      <c r="M233" s="152"/>
      <c r="N233" s="402">
        <f t="shared" si="58"/>
        <v>0</v>
      </c>
      <c r="O233" s="402">
        <f t="shared" si="59"/>
        <v>0</v>
      </c>
      <c r="P233" s="403"/>
      <c r="Q233" s="152">
        <f t="shared" ref="Q233:R249" si="85">L233</f>
        <v>0</v>
      </c>
      <c r="R233" s="152">
        <f t="shared" si="85"/>
        <v>0</v>
      </c>
      <c r="S233" s="402">
        <f t="shared" si="60"/>
        <v>0</v>
      </c>
      <c r="T233" s="404">
        <f t="shared" si="82"/>
        <v>0</v>
      </c>
      <c r="U233" s="403"/>
      <c r="W233" s="43" t="str">
        <f t="shared" si="73"/>
        <v/>
      </c>
      <c r="X233" s="43" t="str">
        <f t="shared" si="71"/>
        <v/>
      </c>
      <c r="Y233" s="43" t="str">
        <f t="shared" si="72"/>
        <v/>
      </c>
    </row>
    <row r="234" spans="1:25" hidden="1">
      <c r="A234" s="155" t="s">
        <v>184</v>
      </c>
      <c r="B234" s="156" t="s">
        <v>242</v>
      </c>
      <c r="C234" s="411" t="s">
        <v>298</v>
      </c>
      <c r="D234" s="351"/>
      <c r="E234" s="405">
        <v>20</v>
      </c>
      <c r="F234" s="406">
        <f>2*0.04</f>
        <v>0.08</v>
      </c>
      <c r="G234" s="412">
        <f t="shared" si="83"/>
        <v>1.06</v>
      </c>
      <c r="H234" s="465">
        <v>44.76</v>
      </c>
      <c r="I234" s="465">
        <f t="shared" si="84"/>
        <v>45.82</v>
      </c>
      <c r="J234" s="407">
        <f t="shared" si="81"/>
        <v>58.1</v>
      </c>
      <c r="K234" s="408" t="s">
        <v>18</v>
      </c>
      <c r="L234" s="152">
        <v>0</v>
      </c>
      <c r="M234" s="152"/>
      <c r="N234" s="402">
        <f t="shared" si="58"/>
        <v>0</v>
      </c>
      <c r="O234" s="402">
        <f t="shared" si="59"/>
        <v>0</v>
      </c>
      <c r="P234" s="403"/>
      <c r="Q234" s="152">
        <f t="shared" si="85"/>
        <v>0</v>
      </c>
      <c r="R234" s="152">
        <f t="shared" si="85"/>
        <v>0</v>
      </c>
      <c r="S234" s="402">
        <f t="shared" si="60"/>
        <v>0</v>
      </c>
      <c r="T234" s="404">
        <f t="shared" si="82"/>
        <v>0</v>
      </c>
      <c r="U234" s="403"/>
      <c r="W234" s="43" t="str">
        <f t="shared" si="73"/>
        <v/>
      </c>
      <c r="X234" s="43" t="str">
        <f t="shared" si="71"/>
        <v/>
      </c>
      <c r="Y234" s="43" t="str">
        <f t="shared" si="72"/>
        <v/>
      </c>
    </row>
    <row r="235" spans="1:25" hidden="1">
      <c r="A235" s="155">
        <v>534906</v>
      </c>
      <c r="B235" s="156" t="s">
        <v>242</v>
      </c>
      <c r="C235" s="411" t="s">
        <v>299</v>
      </c>
      <c r="D235" s="351"/>
      <c r="E235" s="405">
        <v>20</v>
      </c>
      <c r="F235" s="406">
        <f>2*0.06</f>
        <v>0.12</v>
      </c>
      <c r="G235" s="412">
        <f t="shared" si="83"/>
        <v>1.5899999999999999</v>
      </c>
      <c r="H235" s="465">
        <v>44.23</v>
      </c>
      <c r="I235" s="465">
        <f t="shared" si="84"/>
        <v>45.819999999999993</v>
      </c>
      <c r="J235" s="407">
        <f t="shared" si="81"/>
        <v>58.1</v>
      </c>
      <c r="K235" s="408" t="s">
        <v>18</v>
      </c>
      <c r="L235" s="152">
        <v>0</v>
      </c>
      <c r="M235" s="152"/>
      <c r="N235" s="402">
        <f t="shared" si="58"/>
        <v>0</v>
      </c>
      <c r="O235" s="402">
        <f t="shared" si="59"/>
        <v>0</v>
      </c>
      <c r="P235" s="403"/>
      <c r="Q235" s="152">
        <f t="shared" si="85"/>
        <v>0</v>
      </c>
      <c r="R235" s="152">
        <f t="shared" si="85"/>
        <v>0</v>
      </c>
      <c r="S235" s="402">
        <f t="shared" si="60"/>
        <v>0</v>
      </c>
      <c r="T235" s="404">
        <f t="shared" si="82"/>
        <v>0</v>
      </c>
      <c r="U235" s="403"/>
      <c r="W235" s="43" t="str">
        <f t="shared" si="73"/>
        <v/>
      </c>
      <c r="X235" s="43" t="str">
        <f t="shared" si="71"/>
        <v/>
      </c>
      <c r="Y235" s="43" t="str">
        <f t="shared" si="72"/>
        <v/>
      </c>
    </row>
    <row r="236" spans="1:25" hidden="1">
      <c r="A236" s="155" t="s">
        <v>189</v>
      </c>
      <c r="B236" s="156" t="s">
        <v>242</v>
      </c>
      <c r="C236" s="411" t="s">
        <v>300</v>
      </c>
      <c r="D236" s="351"/>
      <c r="E236" s="405">
        <v>20</v>
      </c>
      <c r="F236" s="406">
        <f>2*0.06</f>
        <v>0.12</v>
      </c>
      <c r="G236" s="412">
        <f t="shared" si="83"/>
        <v>1.5899999999999999</v>
      </c>
      <c r="H236" s="465">
        <v>48.65</v>
      </c>
      <c r="I236" s="465">
        <f t="shared" si="84"/>
        <v>50.239999999999995</v>
      </c>
      <c r="J236" s="407">
        <f t="shared" si="81"/>
        <v>63.7</v>
      </c>
      <c r="K236" s="408" t="s">
        <v>18</v>
      </c>
      <c r="L236" s="152">
        <v>0</v>
      </c>
      <c r="M236" s="152"/>
      <c r="N236" s="402">
        <f t="shared" si="58"/>
        <v>0</v>
      </c>
      <c r="O236" s="402">
        <f t="shared" si="59"/>
        <v>0</v>
      </c>
      <c r="P236" s="403"/>
      <c r="Q236" s="152">
        <f t="shared" si="85"/>
        <v>0</v>
      </c>
      <c r="R236" s="152">
        <f t="shared" si="85"/>
        <v>0</v>
      </c>
      <c r="S236" s="402">
        <f t="shared" si="60"/>
        <v>0</v>
      </c>
      <c r="T236" s="404">
        <f t="shared" si="82"/>
        <v>0</v>
      </c>
      <c r="U236" s="403"/>
      <c r="W236" s="43" t="str">
        <f t="shared" si="73"/>
        <v/>
      </c>
      <c r="X236" s="43" t="str">
        <f t="shared" si="71"/>
        <v/>
      </c>
      <c r="Y236" s="43" t="str">
        <f t="shared" si="72"/>
        <v/>
      </c>
    </row>
    <row r="237" spans="1:25" hidden="1">
      <c r="A237" s="155">
        <v>534908</v>
      </c>
      <c r="B237" s="156" t="s">
        <v>242</v>
      </c>
      <c r="C237" s="411" t="s">
        <v>301</v>
      </c>
      <c r="D237" s="351"/>
      <c r="E237" s="405">
        <v>20</v>
      </c>
      <c r="F237" s="406">
        <f>2*0.08</f>
        <v>0.16</v>
      </c>
      <c r="G237" s="412">
        <f t="shared" si="83"/>
        <v>2.12</v>
      </c>
      <c r="H237" s="465">
        <v>48.65</v>
      </c>
      <c r="I237" s="465">
        <f t="shared" si="84"/>
        <v>50.769999999999996</v>
      </c>
      <c r="J237" s="407">
        <f t="shared" si="81"/>
        <v>64.38</v>
      </c>
      <c r="K237" s="408" t="s">
        <v>18</v>
      </c>
      <c r="L237" s="152">
        <v>0</v>
      </c>
      <c r="M237" s="152"/>
      <c r="N237" s="402">
        <f t="shared" si="58"/>
        <v>0</v>
      </c>
      <c r="O237" s="402">
        <f t="shared" si="59"/>
        <v>0</v>
      </c>
      <c r="P237" s="403"/>
      <c r="Q237" s="152">
        <f t="shared" si="85"/>
        <v>0</v>
      </c>
      <c r="R237" s="152">
        <f t="shared" si="85"/>
        <v>0</v>
      </c>
      <c r="S237" s="402">
        <f t="shared" si="60"/>
        <v>0</v>
      </c>
      <c r="T237" s="404">
        <f t="shared" si="82"/>
        <v>0</v>
      </c>
      <c r="U237" s="403"/>
      <c r="W237" s="43" t="str">
        <f t="shared" si="73"/>
        <v/>
      </c>
      <c r="X237" s="43" t="str">
        <f t="shared" si="71"/>
        <v/>
      </c>
      <c r="Y237" s="43" t="str">
        <f t="shared" si="72"/>
        <v/>
      </c>
    </row>
    <row r="238" spans="1:25" hidden="1">
      <c r="A238" s="155" t="s">
        <v>185</v>
      </c>
      <c r="B238" s="156" t="s">
        <v>242</v>
      </c>
      <c r="C238" s="411" t="s">
        <v>302</v>
      </c>
      <c r="D238" s="351"/>
      <c r="E238" s="405">
        <v>20</v>
      </c>
      <c r="F238" s="406">
        <f>2*0.08</f>
        <v>0.16</v>
      </c>
      <c r="G238" s="412">
        <f t="shared" si="83"/>
        <v>2.12</v>
      </c>
      <c r="H238" s="465">
        <v>53.52</v>
      </c>
      <c r="I238" s="465">
        <f t="shared" si="84"/>
        <v>55.64</v>
      </c>
      <c r="J238" s="407">
        <f t="shared" si="81"/>
        <v>70.55</v>
      </c>
      <c r="K238" s="408" t="s">
        <v>18</v>
      </c>
      <c r="L238" s="152">
        <v>0</v>
      </c>
      <c r="M238" s="152"/>
      <c r="N238" s="402">
        <f t="shared" si="58"/>
        <v>0</v>
      </c>
      <c r="O238" s="402">
        <f t="shared" si="59"/>
        <v>0</v>
      </c>
      <c r="P238" s="403"/>
      <c r="Q238" s="152">
        <f t="shared" si="85"/>
        <v>0</v>
      </c>
      <c r="R238" s="152">
        <f t="shared" si="85"/>
        <v>0</v>
      </c>
      <c r="S238" s="402">
        <f t="shared" si="60"/>
        <v>0</v>
      </c>
      <c r="T238" s="404">
        <f t="shared" si="82"/>
        <v>0</v>
      </c>
      <c r="U238" s="403"/>
      <c r="W238" s="43" t="str">
        <f t="shared" si="73"/>
        <v/>
      </c>
      <c r="X238" s="43" t="str">
        <f t="shared" si="71"/>
        <v/>
      </c>
      <c r="Y238" s="43" t="str">
        <f t="shared" si="72"/>
        <v/>
      </c>
    </row>
    <row r="239" spans="1:25" hidden="1">
      <c r="A239" s="155" t="s">
        <v>186</v>
      </c>
      <c r="B239" s="156" t="s">
        <v>242</v>
      </c>
      <c r="C239" s="411" t="s">
        <v>303</v>
      </c>
      <c r="D239" s="351"/>
      <c r="E239" s="405">
        <v>20</v>
      </c>
      <c r="F239" s="406">
        <f>2*0.1</f>
        <v>0.2</v>
      </c>
      <c r="G239" s="412">
        <f t="shared" si="83"/>
        <v>2.6500000000000004</v>
      </c>
      <c r="H239" s="465">
        <v>54.443758620689657</v>
      </c>
      <c r="I239" s="465">
        <f t="shared" si="84"/>
        <v>57.093758620689655</v>
      </c>
      <c r="J239" s="407">
        <f t="shared" si="81"/>
        <v>72.39</v>
      </c>
      <c r="K239" s="408" t="s">
        <v>18</v>
      </c>
      <c r="L239" s="152">
        <v>0</v>
      </c>
      <c r="M239" s="152"/>
      <c r="N239" s="402">
        <f t="shared" si="58"/>
        <v>0</v>
      </c>
      <c r="O239" s="402">
        <f t="shared" si="59"/>
        <v>0</v>
      </c>
      <c r="P239" s="403"/>
      <c r="Q239" s="152">
        <f t="shared" si="85"/>
        <v>0</v>
      </c>
      <c r="R239" s="152">
        <f t="shared" si="85"/>
        <v>0</v>
      </c>
      <c r="S239" s="402">
        <f t="shared" si="60"/>
        <v>0</v>
      </c>
      <c r="T239" s="404">
        <f t="shared" si="82"/>
        <v>0</v>
      </c>
      <c r="U239" s="403"/>
      <c r="W239" s="43" t="str">
        <f t="shared" si="73"/>
        <v/>
      </c>
      <c r="X239" s="43" t="str">
        <f t="shared" si="71"/>
        <v/>
      </c>
      <c r="Y239" s="43" t="str">
        <f t="shared" si="72"/>
        <v/>
      </c>
    </row>
    <row r="240" spans="1:25" hidden="1">
      <c r="A240" s="155" t="s">
        <v>187</v>
      </c>
      <c r="B240" s="156" t="s">
        <v>242</v>
      </c>
      <c r="C240" s="411" t="s">
        <v>304</v>
      </c>
      <c r="D240" s="351"/>
      <c r="E240" s="405">
        <v>20</v>
      </c>
      <c r="F240" s="406">
        <f>2*0.1</f>
        <v>0.2</v>
      </c>
      <c r="G240" s="412">
        <f t="shared" si="83"/>
        <v>2.6500000000000004</v>
      </c>
      <c r="H240" s="465">
        <v>59.89</v>
      </c>
      <c r="I240" s="465">
        <f t="shared" si="84"/>
        <v>62.54</v>
      </c>
      <c r="J240" s="407">
        <f t="shared" si="81"/>
        <v>79.3</v>
      </c>
      <c r="K240" s="408" t="s">
        <v>18</v>
      </c>
      <c r="L240" s="152">
        <v>0</v>
      </c>
      <c r="M240" s="152"/>
      <c r="N240" s="402">
        <f t="shared" si="58"/>
        <v>0</v>
      </c>
      <c r="O240" s="402">
        <f t="shared" si="59"/>
        <v>0</v>
      </c>
      <c r="P240" s="403"/>
      <c r="Q240" s="152">
        <f t="shared" si="85"/>
        <v>0</v>
      </c>
      <c r="R240" s="152">
        <f t="shared" si="85"/>
        <v>0</v>
      </c>
      <c r="S240" s="402">
        <f t="shared" si="60"/>
        <v>0</v>
      </c>
      <c r="T240" s="404">
        <f t="shared" si="82"/>
        <v>0</v>
      </c>
      <c r="U240" s="403"/>
      <c r="W240" s="43" t="str">
        <f t="shared" si="73"/>
        <v/>
      </c>
      <c r="X240" s="43" t="str">
        <f t="shared" si="71"/>
        <v/>
      </c>
      <c r="Y240" s="43" t="str">
        <f t="shared" si="72"/>
        <v/>
      </c>
    </row>
    <row r="241" spans="1:25" hidden="1">
      <c r="A241" s="155" t="s">
        <v>274</v>
      </c>
      <c r="B241" s="156" t="s">
        <v>242</v>
      </c>
      <c r="C241" s="411" t="s">
        <v>305</v>
      </c>
      <c r="D241" s="351"/>
      <c r="E241" s="405">
        <v>20</v>
      </c>
      <c r="F241" s="406">
        <f>2*0.04</f>
        <v>0.08</v>
      </c>
      <c r="G241" s="412">
        <f t="shared" si="83"/>
        <v>1.06</v>
      </c>
      <c r="H241" s="465">
        <v>40.69</v>
      </c>
      <c r="I241" s="465">
        <f t="shared" si="84"/>
        <v>41.75</v>
      </c>
      <c r="J241" s="407">
        <f t="shared" si="81"/>
        <v>52.94</v>
      </c>
      <c r="K241" s="408" t="s">
        <v>18</v>
      </c>
      <c r="L241" s="152">
        <v>0</v>
      </c>
      <c r="M241" s="152"/>
      <c r="N241" s="402">
        <f t="shared" si="58"/>
        <v>0</v>
      </c>
      <c r="O241" s="402">
        <f t="shared" si="59"/>
        <v>0</v>
      </c>
      <c r="P241" s="403"/>
      <c r="Q241" s="152">
        <f t="shared" si="85"/>
        <v>0</v>
      </c>
      <c r="R241" s="152">
        <f t="shared" si="85"/>
        <v>0</v>
      </c>
      <c r="S241" s="402">
        <f t="shared" si="60"/>
        <v>0</v>
      </c>
      <c r="T241" s="404">
        <f t="shared" si="82"/>
        <v>0</v>
      </c>
      <c r="U241" s="403"/>
      <c r="W241" s="43" t="str">
        <f t="shared" si="73"/>
        <v/>
      </c>
      <c r="X241" s="43" t="str">
        <f t="shared" si="71"/>
        <v/>
      </c>
      <c r="Y241" s="43" t="str">
        <f t="shared" si="72"/>
        <v/>
      </c>
    </row>
    <row r="242" spans="1:25" hidden="1">
      <c r="A242" s="155" t="s">
        <v>275</v>
      </c>
      <c r="B242" s="156" t="s">
        <v>242</v>
      </c>
      <c r="C242" s="411" t="s">
        <v>306</v>
      </c>
      <c r="D242" s="351"/>
      <c r="E242" s="405">
        <v>20</v>
      </c>
      <c r="F242" s="406">
        <f>2*0.05</f>
        <v>0.1</v>
      </c>
      <c r="G242" s="412">
        <f t="shared" si="83"/>
        <v>1.3250000000000002</v>
      </c>
      <c r="H242" s="465">
        <v>42.46</v>
      </c>
      <c r="I242" s="465">
        <f t="shared" si="84"/>
        <v>43.785000000000004</v>
      </c>
      <c r="J242" s="407">
        <f t="shared" si="81"/>
        <v>55.52</v>
      </c>
      <c r="K242" s="408" t="s">
        <v>18</v>
      </c>
      <c r="L242" s="152">
        <v>0</v>
      </c>
      <c r="M242" s="152"/>
      <c r="N242" s="402">
        <f t="shared" si="58"/>
        <v>0</v>
      </c>
      <c r="O242" s="402">
        <f t="shared" si="59"/>
        <v>0</v>
      </c>
      <c r="P242" s="403"/>
      <c r="Q242" s="152">
        <f t="shared" si="85"/>
        <v>0</v>
      </c>
      <c r="R242" s="152">
        <f t="shared" si="85"/>
        <v>0</v>
      </c>
      <c r="S242" s="402">
        <f t="shared" si="60"/>
        <v>0</v>
      </c>
      <c r="T242" s="404">
        <f t="shared" si="82"/>
        <v>0</v>
      </c>
      <c r="U242" s="403"/>
      <c r="W242" s="43" t="str">
        <f t="shared" si="73"/>
        <v/>
      </c>
      <c r="X242" s="43" t="str">
        <f t="shared" si="71"/>
        <v/>
      </c>
      <c r="Y242" s="43" t="str">
        <f t="shared" si="72"/>
        <v/>
      </c>
    </row>
    <row r="243" spans="1:25" hidden="1">
      <c r="A243" s="155" t="s">
        <v>276</v>
      </c>
      <c r="B243" s="156" t="s">
        <v>242</v>
      </c>
      <c r="C243" s="411" t="s">
        <v>307</v>
      </c>
      <c r="D243" s="351"/>
      <c r="E243" s="405">
        <v>20</v>
      </c>
      <c r="F243" s="406">
        <f>2*0.06</f>
        <v>0.12</v>
      </c>
      <c r="G243" s="412">
        <f t="shared" si="83"/>
        <v>1.5899999999999999</v>
      </c>
      <c r="H243" s="465">
        <v>44.23</v>
      </c>
      <c r="I243" s="465">
        <f t="shared" si="84"/>
        <v>45.819999999999993</v>
      </c>
      <c r="J243" s="407">
        <f t="shared" si="81"/>
        <v>58.1</v>
      </c>
      <c r="K243" s="408" t="s">
        <v>18</v>
      </c>
      <c r="L243" s="152">
        <v>0</v>
      </c>
      <c r="M243" s="152"/>
      <c r="N243" s="402">
        <f t="shared" si="58"/>
        <v>0</v>
      </c>
      <c r="O243" s="402">
        <f t="shared" si="59"/>
        <v>0</v>
      </c>
      <c r="P243" s="403"/>
      <c r="Q243" s="152">
        <f t="shared" si="85"/>
        <v>0</v>
      </c>
      <c r="R243" s="152">
        <f t="shared" si="85"/>
        <v>0</v>
      </c>
      <c r="S243" s="402">
        <f t="shared" si="60"/>
        <v>0</v>
      </c>
      <c r="T243" s="404">
        <f t="shared" si="82"/>
        <v>0</v>
      </c>
      <c r="U243" s="403"/>
      <c r="W243" s="43" t="str">
        <f t="shared" si="73"/>
        <v/>
      </c>
      <c r="X243" s="43" t="str">
        <f t="shared" si="71"/>
        <v/>
      </c>
      <c r="Y243" s="43" t="str">
        <f t="shared" si="72"/>
        <v/>
      </c>
    </row>
    <row r="244" spans="1:25" hidden="1">
      <c r="A244" s="155" t="s">
        <v>277</v>
      </c>
      <c r="B244" s="156" t="s">
        <v>242</v>
      </c>
      <c r="C244" s="411" t="s">
        <v>308</v>
      </c>
      <c r="D244" s="351"/>
      <c r="E244" s="405">
        <v>20</v>
      </c>
      <c r="F244" s="406">
        <f>2*0.065</f>
        <v>0.13</v>
      </c>
      <c r="G244" s="412">
        <f t="shared" si="83"/>
        <v>1.7225000000000001</v>
      </c>
      <c r="H244" s="465">
        <v>46.44</v>
      </c>
      <c r="I244" s="465">
        <f t="shared" si="84"/>
        <v>48.162499999999994</v>
      </c>
      <c r="J244" s="407">
        <f t="shared" si="81"/>
        <v>61.07</v>
      </c>
      <c r="K244" s="408" t="s">
        <v>18</v>
      </c>
      <c r="L244" s="152">
        <v>0</v>
      </c>
      <c r="M244" s="152"/>
      <c r="N244" s="402">
        <f t="shared" si="58"/>
        <v>0</v>
      </c>
      <c r="O244" s="402">
        <f t="shared" si="59"/>
        <v>0</v>
      </c>
      <c r="P244" s="403"/>
      <c r="Q244" s="152">
        <f t="shared" si="85"/>
        <v>0</v>
      </c>
      <c r="R244" s="152">
        <f t="shared" si="85"/>
        <v>0</v>
      </c>
      <c r="S244" s="402">
        <f t="shared" si="60"/>
        <v>0</v>
      </c>
      <c r="T244" s="404">
        <f t="shared" si="82"/>
        <v>0</v>
      </c>
      <c r="U244" s="403"/>
      <c r="W244" s="43" t="str">
        <f t="shared" si="73"/>
        <v/>
      </c>
      <c r="X244" s="43" t="str">
        <f t="shared" si="71"/>
        <v/>
      </c>
      <c r="Y244" s="43" t="str">
        <f t="shared" si="72"/>
        <v/>
      </c>
    </row>
    <row r="245" spans="1:25" hidden="1">
      <c r="A245" s="155" t="s">
        <v>278</v>
      </c>
      <c r="B245" s="156" t="s">
        <v>242</v>
      </c>
      <c r="C245" s="411" t="s">
        <v>309</v>
      </c>
      <c r="D245" s="351"/>
      <c r="E245" s="405">
        <v>20</v>
      </c>
      <c r="F245" s="406">
        <f>2*0.08</f>
        <v>0.16</v>
      </c>
      <c r="G245" s="412">
        <f t="shared" si="83"/>
        <v>2.12</v>
      </c>
      <c r="H245" s="465">
        <v>48.65</v>
      </c>
      <c r="I245" s="465">
        <f t="shared" si="84"/>
        <v>50.769999999999996</v>
      </c>
      <c r="J245" s="407">
        <f t="shared" si="81"/>
        <v>64.38</v>
      </c>
      <c r="K245" s="408" t="s">
        <v>18</v>
      </c>
      <c r="L245" s="152">
        <v>0</v>
      </c>
      <c r="M245" s="152"/>
      <c r="N245" s="402">
        <f t="shared" si="58"/>
        <v>0</v>
      </c>
      <c r="O245" s="402">
        <f t="shared" si="59"/>
        <v>0</v>
      </c>
      <c r="P245" s="403"/>
      <c r="Q245" s="152">
        <f t="shared" si="85"/>
        <v>0</v>
      </c>
      <c r="R245" s="152">
        <f t="shared" si="85"/>
        <v>0</v>
      </c>
      <c r="S245" s="402">
        <f t="shared" si="60"/>
        <v>0</v>
      </c>
      <c r="T245" s="404">
        <f t="shared" si="82"/>
        <v>0</v>
      </c>
      <c r="U245" s="403"/>
      <c r="W245" s="43" t="str">
        <f t="shared" si="73"/>
        <v/>
      </c>
      <c r="X245" s="43" t="str">
        <f t="shared" si="71"/>
        <v/>
      </c>
      <c r="Y245" s="43" t="str">
        <f t="shared" si="72"/>
        <v/>
      </c>
    </row>
    <row r="246" spans="1:25" hidden="1">
      <c r="A246" s="155" t="s">
        <v>279</v>
      </c>
      <c r="B246" s="156" t="s">
        <v>242</v>
      </c>
      <c r="C246" s="411" t="s">
        <v>310</v>
      </c>
      <c r="D246" s="351"/>
      <c r="E246" s="405">
        <v>20</v>
      </c>
      <c r="F246" s="406">
        <f>2*0.1</f>
        <v>0.2</v>
      </c>
      <c r="G246" s="412">
        <f t="shared" si="83"/>
        <v>2.6500000000000004</v>
      </c>
      <c r="H246" s="465">
        <v>54.443758620689657</v>
      </c>
      <c r="I246" s="465">
        <f t="shared" si="84"/>
        <v>57.093758620689655</v>
      </c>
      <c r="J246" s="407">
        <f t="shared" si="81"/>
        <v>72.39</v>
      </c>
      <c r="K246" s="408" t="s">
        <v>18</v>
      </c>
      <c r="L246" s="152">
        <v>0</v>
      </c>
      <c r="M246" s="152"/>
      <c r="N246" s="402">
        <f t="shared" si="58"/>
        <v>0</v>
      </c>
      <c r="O246" s="402">
        <f t="shared" si="59"/>
        <v>0</v>
      </c>
      <c r="P246" s="403"/>
      <c r="Q246" s="152">
        <f t="shared" si="85"/>
        <v>0</v>
      </c>
      <c r="R246" s="152">
        <f t="shared" si="85"/>
        <v>0</v>
      </c>
      <c r="S246" s="402">
        <f t="shared" si="60"/>
        <v>0</v>
      </c>
      <c r="T246" s="404">
        <f t="shared" si="82"/>
        <v>0</v>
      </c>
      <c r="U246" s="403"/>
      <c r="W246" s="43" t="str">
        <f t="shared" si="73"/>
        <v/>
      </c>
      <c r="X246" s="43" t="str">
        <f t="shared" si="71"/>
        <v/>
      </c>
      <c r="Y246" s="43" t="str">
        <f t="shared" si="72"/>
        <v/>
      </c>
    </row>
    <row r="247" spans="1:25" hidden="1">
      <c r="A247" s="155" t="s">
        <v>280</v>
      </c>
      <c r="B247" s="156" t="s">
        <v>242</v>
      </c>
      <c r="C247" s="411" t="s">
        <v>311</v>
      </c>
      <c r="D247" s="351"/>
      <c r="E247" s="405">
        <v>20</v>
      </c>
      <c r="F247" s="406">
        <f>2*0.12</f>
        <v>0.24</v>
      </c>
      <c r="G247" s="412">
        <f t="shared" si="83"/>
        <v>3.1799999999999997</v>
      </c>
      <c r="H247" s="465">
        <v>59.89</v>
      </c>
      <c r="I247" s="465">
        <f t="shared" si="84"/>
        <v>63.07</v>
      </c>
      <c r="J247" s="407">
        <f t="shared" si="81"/>
        <v>79.97</v>
      </c>
      <c r="K247" s="408" t="s">
        <v>18</v>
      </c>
      <c r="L247" s="152">
        <v>0</v>
      </c>
      <c r="M247" s="152"/>
      <c r="N247" s="402">
        <f t="shared" si="58"/>
        <v>0</v>
      </c>
      <c r="O247" s="402">
        <f t="shared" si="59"/>
        <v>0</v>
      </c>
      <c r="P247" s="403"/>
      <c r="Q247" s="152">
        <f t="shared" si="85"/>
        <v>0</v>
      </c>
      <c r="R247" s="152">
        <f t="shared" si="85"/>
        <v>0</v>
      </c>
      <c r="S247" s="402">
        <f t="shared" si="60"/>
        <v>0</v>
      </c>
      <c r="T247" s="404">
        <f t="shared" si="82"/>
        <v>0</v>
      </c>
      <c r="U247" s="403"/>
      <c r="W247" s="43" t="str">
        <f t="shared" si="73"/>
        <v/>
      </c>
      <c r="X247" s="43" t="str">
        <f t="shared" si="71"/>
        <v/>
      </c>
      <c r="Y247" s="43" t="str">
        <f t="shared" si="72"/>
        <v/>
      </c>
    </row>
    <row r="248" spans="1:25" hidden="1">
      <c r="A248" s="155">
        <v>84183</v>
      </c>
      <c r="B248" s="156" t="s">
        <v>241</v>
      </c>
      <c r="C248" s="411" t="s">
        <v>312</v>
      </c>
      <c r="D248" s="351"/>
      <c r="E248" s="405">
        <v>20</v>
      </c>
      <c r="F248" s="406">
        <v>0.3</v>
      </c>
      <c r="G248" s="412">
        <f t="shared" si="83"/>
        <v>3.9749999999999996</v>
      </c>
      <c r="H248" s="465">
        <v>86.9</v>
      </c>
      <c r="I248" s="465">
        <f>IF(ISBLANK(H248),"",SUM(G248:H248))*0.6806</f>
        <v>61.849525</v>
      </c>
      <c r="J248" s="407">
        <f t="shared" si="81"/>
        <v>78.430000000000007</v>
      </c>
      <c r="K248" s="408" t="s">
        <v>18</v>
      </c>
      <c r="L248" s="152">
        <v>0</v>
      </c>
      <c r="M248" s="152"/>
      <c r="N248" s="402">
        <f t="shared" si="58"/>
        <v>0</v>
      </c>
      <c r="O248" s="402">
        <f t="shared" si="59"/>
        <v>0</v>
      </c>
      <c r="P248" s="403"/>
      <c r="Q248" s="152">
        <f t="shared" si="85"/>
        <v>0</v>
      </c>
      <c r="R248" s="152">
        <f t="shared" si="85"/>
        <v>0</v>
      </c>
      <c r="S248" s="402">
        <f t="shared" si="60"/>
        <v>0</v>
      </c>
      <c r="T248" s="404">
        <f t="shared" si="82"/>
        <v>0</v>
      </c>
      <c r="U248" s="403"/>
      <c r="W248" s="43" t="str">
        <f t="shared" si="73"/>
        <v/>
      </c>
      <c r="X248" s="43" t="str">
        <f t="shared" si="71"/>
        <v/>
      </c>
      <c r="Y248" s="43" t="str">
        <f t="shared" si="72"/>
        <v/>
      </c>
    </row>
    <row r="249" spans="1:25" hidden="1">
      <c r="A249" s="155">
        <v>562100</v>
      </c>
      <c r="B249" s="156" t="s">
        <v>242</v>
      </c>
      <c r="C249" s="411" t="s">
        <v>313</v>
      </c>
      <c r="D249" s="351">
        <v>1</v>
      </c>
      <c r="E249" s="405"/>
      <c r="F249" s="406"/>
      <c r="G249" s="158">
        <f>SUM(G250:G253)</f>
        <v>0.63140499999999999</v>
      </c>
      <c r="H249" s="465">
        <f>F252*2060.48*(1+$E$9)/(1+$E$10)+1.77</f>
        <v>4.6169723659305992</v>
      </c>
      <c r="I249" s="465">
        <f t="shared" ref="I249:I312" si="86">IF(ISBLANK(H249),"",SUM(G249:H249))</f>
        <v>5.2483773659305992</v>
      </c>
      <c r="J249" s="407">
        <f t="shared" si="81"/>
        <v>6.65</v>
      </c>
      <c r="K249" s="408" t="s">
        <v>18</v>
      </c>
      <c r="L249" s="152">
        <v>0</v>
      </c>
      <c r="M249" s="152"/>
      <c r="N249" s="402">
        <f t="shared" si="58"/>
        <v>0</v>
      </c>
      <c r="O249" s="402">
        <f t="shared" si="59"/>
        <v>0</v>
      </c>
      <c r="P249" s="403"/>
      <c r="Q249" s="152">
        <f t="shared" si="85"/>
        <v>0</v>
      </c>
      <c r="R249" s="152">
        <f t="shared" si="85"/>
        <v>0</v>
      </c>
      <c r="S249" s="402">
        <f t="shared" si="60"/>
        <v>0</v>
      </c>
      <c r="T249" s="404">
        <f t="shared" si="82"/>
        <v>0</v>
      </c>
      <c r="U249" s="403"/>
      <c r="W249" s="43" t="str">
        <f t="shared" si="73"/>
        <v/>
      </c>
      <c r="X249" s="43" t="str">
        <f t="shared" si="71"/>
        <v/>
      </c>
      <c r="Y249" s="43" t="str">
        <f t="shared" si="72"/>
        <v/>
      </c>
    </row>
    <row r="250" spans="1:25" hidden="1">
      <c r="A250" s="155" t="s">
        <v>183</v>
      </c>
      <c r="B250" s="156"/>
      <c r="C250" s="349" t="s">
        <v>314</v>
      </c>
      <c r="D250" s="157"/>
      <c r="E250" s="405">
        <v>180</v>
      </c>
      <c r="F250" s="214" t="s">
        <v>89</v>
      </c>
      <c r="G250" s="412">
        <f>IF(E250&lt;=30,(0.6*E250+1.25)*F250,((0.6*30+1.25)+0.5*(E250-30))*F250)</f>
        <v>0.235625</v>
      </c>
      <c r="H250" s="465"/>
      <c r="I250" s="465" t="str">
        <f t="shared" si="86"/>
        <v/>
      </c>
      <c r="J250" s="407">
        <f t="shared" si="81"/>
        <v>0</v>
      </c>
      <c r="K250" s="394" t="s">
        <v>1029</v>
      </c>
      <c r="L250" s="152">
        <v>0</v>
      </c>
      <c r="M250" s="213"/>
      <c r="N250" s="402">
        <f t="shared" si="58"/>
        <v>0</v>
      </c>
      <c r="O250" s="402">
        <f t="shared" si="59"/>
        <v>0</v>
      </c>
      <c r="P250" s="403"/>
      <c r="Q250" s="212"/>
      <c r="R250" s="213"/>
      <c r="S250" s="402">
        <f t="shared" si="60"/>
        <v>0</v>
      </c>
      <c r="T250" s="404">
        <f t="shared" si="82"/>
        <v>0</v>
      </c>
      <c r="U250" s="403"/>
      <c r="V250" s="144" t="str">
        <f>IF(T249&gt;0,"xx",IF(O249&gt;0,"xy",""))</f>
        <v/>
      </c>
      <c r="W250" s="43" t="str">
        <f t="shared" si="73"/>
        <v/>
      </c>
      <c r="X250" s="43" t="str">
        <f t="shared" si="71"/>
        <v/>
      </c>
      <c r="Y250" s="43" t="str">
        <f t="shared" si="72"/>
        <v/>
      </c>
    </row>
    <row r="251" spans="1:25" hidden="1">
      <c r="A251" s="155" t="s">
        <v>183</v>
      </c>
      <c r="B251" s="156"/>
      <c r="C251" s="349" t="s">
        <v>315</v>
      </c>
      <c r="D251" s="157"/>
      <c r="E251" s="405">
        <v>500</v>
      </c>
      <c r="F251" s="214" t="s">
        <v>90</v>
      </c>
      <c r="G251" s="158">
        <f>IF(E251&lt;=30,(0.42*E251+3.55)*F251,((0.42*30+3.55)+0.35*(E251-30))*F251)</f>
        <v>1.8065000000000001E-2</v>
      </c>
      <c r="H251" s="465"/>
      <c r="I251" s="465" t="str">
        <f t="shared" si="86"/>
        <v/>
      </c>
      <c r="J251" s="407">
        <f t="shared" si="81"/>
        <v>0</v>
      </c>
      <c r="K251" s="394" t="s">
        <v>1029</v>
      </c>
      <c r="L251" s="152">
        <v>0</v>
      </c>
      <c r="M251" s="213"/>
      <c r="N251" s="402">
        <f t="shared" si="58"/>
        <v>0</v>
      </c>
      <c r="O251" s="402">
        <f t="shared" si="59"/>
        <v>0</v>
      </c>
      <c r="P251" s="403"/>
      <c r="Q251" s="212"/>
      <c r="R251" s="213"/>
      <c r="S251" s="402">
        <f t="shared" si="60"/>
        <v>0</v>
      </c>
      <c r="T251" s="404">
        <f t="shared" si="82"/>
        <v>0</v>
      </c>
      <c r="U251" s="403"/>
      <c r="V251" s="144" t="str">
        <f>IF(T249&gt;0,"xx",IF(O249&gt;0,"xy",""))</f>
        <v/>
      </c>
      <c r="W251" s="43" t="str">
        <f t="shared" si="73"/>
        <v/>
      </c>
      <c r="X251" s="43" t="str">
        <f t="shared" si="71"/>
        <v/>
      </c>
      <c r="Y251" s="43" t="str">
        <f t="shared" si="72"/>
        <v/>
      </c>
    </row>
    <row r="252" spans="1:25" hidden="1">
      <c r="A252" s="155">
        <v>173010</v>
      </c>
      <c r="B252" s="156" t="s">
        <v>242</v>
      </c>
      <c r="C252" s="348" t="s">
        <v>316</v>
      </c>
      <c r="D252" s="157"/>
      <c r="E252" s="405">
        <v>500</v>
      </c>
      <c r="F252" s="214" t="s">
        <v>91</v>
      </c>
      <c r="G252" s="162">
        <f>(0.42*E252+20.61)*F252</f>
        <v>0.34591500000000003</v>
      </c>
      <c r="H252" s="465"/>
      <c r="I252" s="465" t="str">
        <f t="shared" si="86"/>
        <v/>
      </c>
      <c r="J252" s="407">
        <f t="shared" si="81"/>
        <v>0</v>
      </c>
      <c r="K252" s="394" t="s">
        <v>1029</v>
      </c>
      <c r="L252" s="152">
        <v>0</v>
      </c>
      <c r="M252" s="213"/>
      <c r="N252" s="402">
        <f t="shared" si="58"/>
        <v>0</v>
      </c>
      <c r="O252" s="402">
        <f t="shared" si="59"/>
        <v>0</v>
      </c>
      <c r="P252" s="403"/>
      <c r="Q252" s="212"/>
      <c r="R252" s="213"/>
      <c r="S252" s="402">
        <f t="shared" si="60"/>
        <v>0</v>
      </c>
      <c r="T252" s="404">
        <f t="shared" si="82"/>
        <v>0</v>
      </c>
      <c r="U252" s="403"/>
      <c r="V252" s="144" t="str">
        <f>IF($T$131&gt;0,"xx",IF($O$131&gt;0,"xy",""))</f>
        <v/>
      </c>
      <c r="W252" s="43" t="str">
        <f t="shared" si="73"/>
        <v/>
      </c>
      <c r="X252" s="43" t="str">
        <f t="shared" si="71"/>
        <v/>
      </c>
      <c r="Y252" s="43" t="str">
        <f t="shared" si="72"/>
        <v/>
      </c>
    </row>
    <row r="253" spans="1:25" hidden="1">
      <c r="A253" s="155" t="s">
        <v>183</v>
      </c>
      <c r="B253" s="156"/>
      <c r="C253" s="349" t="s">
        <v>317</v>
      </c>
      <c r="D253" s="157"/>
      <c r="E253" s="405">
        <v>20</v>
      </c>
      <c r="F253" s="406" t="s">
        <v>92</v>
      </c>
      <c r="G253" s="412">
        <f>IF(E253&lt;=30,(0.6*E253+1.25)*F253,((0.6*30+1.25)+0.5*(E253-30))*F253)</f>
        <v>3.1799999999999995E-2</v>
      </c>
      <c r="H253" s="465"/>
      <c r="I253" s="465" t="str">
        <f t="shared" si="86"/>
        <v/>
      </c>
      <c r="J253" s="407">
        <f t="shared" si="81"/>
        <v>0</v>
      </c>
      <c r="K253" s="394" t="s">
        <v>1029</v>
      </c>
      <c r="L253" s="152">
        <v>0</v>
      </c>
      <c r="M253" s="213"/>
      <c r="N253" s="402">
        <f t="shared" si="58"/>
        <v>0</v>
      </c>
      <c r="O253" s="402">
        <f t="shared" si="59"/>
        <v>0</v>
      </c>
      <c r="P253" s="403"/>
      <c r="Q253" s="212"/>
      <c r="R253" s="213"/>
      <c r="S253" s="402">
        <f t="shared" si="60"/>
        <v>0</v>
      </c>
      <c r="T253" s="404">
        <f t="shared" si="82"/>
        <v>0</v>
      </c>
      <c r="U253" s="403"/>
      <c r="V253" s="144" t="str">
        <f>IF($T$131&gt;0,"xx",IF($O$131&gt;0,"xy",""))</f>
        <v/>
      </c>
      <c r="W253" s="43" t="str">
        <f t="shared" si="73"/>
        <v/>
      </c>
      <c r="X253" s="43" t="str">
        <f t="shared" si="71"/>
        <v/>
      </c>
      <c r="Y253" s="43" t="str">
        <f t="shared" si="72"/>
        <v/>
      </c>
    </row>
    <row r="254" spans="1:25" hidden="1">
      <c r="A254" s="155">
        <v>562100</v>
      </c>
      <c r="B254" s="156" t="s">
        <v>242</v>
      </c>
      <c r="C254" s="411" t="s">
        <v>318</v>
      </c>
      <c r="D254" s="351">
        <v>1</v>
      </c>
      <c r="E254" s="405"/>
      <c r="F254" s="406"/>
      <c r="G254" s="158">
        <f>SUM(G255:G258)</f>
        <v>0.84117799999999998</v>
      </c>
      <c r="H254" s="465">
        <f>F257*2060.48*(1+$E$9)/(1+$E$10)+1.77</f>
        <v>5.1863668391167188</v>
      </c>
      <c r="I254" s="465">
        <f t="shared" si="86"/>
        <v>6.027544839116719</v>
      </c>
      <c r="J254" s="407">
        <f t="shared" si="81"/>
        <v>7.64</v>
      </c>
      <c r="K254" s="408" t="s">
        <v>18</v>
      </c>
      <c r="L254" s="152">
        <v>0</v>
      </c>
      <c r="M254" s="152"/>
      <c r="N254" s="402">
        <f t="shared" si="58"/>
        <v>0</v>
      </c>
      <c r="O254" s="402">
        <f t="shared" si="59"/>
        <v>0</v>
      </c>
      <c r="P254" s="403"/>
      <c r="Q254" s="152">
        <f t="shared" si="54"/>
        <v>0</v>
      </c>
      <c r="R254" s="152">
        <f t="shared" si="54"/>
        <v>0</v>
      </c>
      <c r="S254" s="402">
        <f t="shared" si="60"/>
        <v>0</v>
      </c>
      <c r="T254" s="404">
        <f t="shared" si="82"/>
        <v>0</v>
      </c>
      <c r="U254" s="403"/>
      <c r="W254" s="43" t="str">
        <f t="shared" si="73"/>
        <v/>
      </c>
      <c r="X254" s="43" t="str">
        <f t="shared" si="71"/>
        <v/>
      </c>
      <c r="Y254" s="43" t="str">
        <f t="shared" si="72"/>
        <v/>
      </c>
    </row>
    <row r="255" spans="1:25" hidden="1">
      <c r="A255" s="155" t="s">
        <v>183</v>
      </c>
      <c r="B255" s="156"/>
      <c r="C255" s="349" t="s">
        <v>314</v>
      </c>
      <c r="D255" s="157"/>
      <c r="E255" s="405">
        <v>180</v>
      </c>
      <c r="F255" s="214" t="s">
        <v>93</v>
      </c>
      <c r="G255" s="412">
        <f>IF(E255&lt;=30,(0.6*E255+1.25)*F255,((0.6*30+1.25)+0.5*(E255-30))*F255)</f>
        <v>0.35815000000000002</v>
      </c>
      <c r="H255" s="465"/>
      <c r="I255" s="465" t="str">
        <f t="shared" si="86"/>
        <v/>
      </c>
      <c r="J255" s="407">
        <f t="shared" si="81"/>
        <v>0</v>
      </c>
      <c r="K255" s="394" t="s">
        <v>1029</v>
      </c>
      <c r="L255" s="152">
        <v>0</v>
      </c>
      <c r="M255" s="213"/>
      <c r="N255" s="402">
        <f t="shared" si="58"/>
        <v>0</v>
      </c>
      <c r="O255" s="402">
        <f t="shared" si="59"/>
        <v>0</v>
      </c>
      <c r="P255" s="403"/>
      <c r="Q255" s="212"/>
      <c r="R255" s="213"/>
      <c r="S255" s="402">
        <f t="shared" si="60"/>
        <v>0</v>
      </c>
      <c r="T255" s="404">
        <f t="shared" si="82"/>
        <v>0</v>
      </c>
      <c r="U255" s="403"/>
      <c r="V255" s="144" t="str">
        <f>IF(T254&gt;0,"xx",IF(O254&gt;0,"xy",""))</f>
        <v/>
      </c>
      <c r="W255" s="43" t="str">
        <f t="shared" si="73"/>
        <v/>
      </c>
      <c r="X255" s="43" t="str">
        <f t="shared" si="71"/>
        <v/>
      </c>
      <c r="Y255" s="43" t="str">
        <f t="shared" si="72"/>
        <v/>
      </c>
    </row>
    <row r="256" spans="1:25" hidden="1">
      <c r="A256" s="155" t="s">
        <v>183</v>
      </c>
      <c r="B256" s="156"/>
      <c r="C256" s="349" t="s">
        <v>315</v>
      </c>
      <c r="D256" s="157"/>
      <c r="E256" s="405">
        <v>500</v>
      </c>
      <c r="F256" s="214" t="s">
        <v>94</v>
      </c>
      <c r="G256" s="158">
        <f>IF(E256&lt;=30,(0.42*E256+3.55)*F256,((0.42*30+3.55)+0.35*(E256-30))*F256)</f>
        <v>3.6130000000000002E-2</v>
      </c>
      <c r="H256" s="465"/>
      <c r="I256" s="465" t="str">
        <f t="shared" si="86"/>
        <v/>
      </c>
      <c r="J256" s="407">
        <f t="shared" si="81"/>
        <v>0</v>
      </c>
      <c r="K256" s="394" t="s">
        <v>1029</v>
      </c>
      <c r="L256" s="152">
        <v>0</v>
      </c>
      <c r="M256" s="213"/>
      <c r="N256" s="402">
        <f t="shared" si="58"/>
        <v>0</v>
      </c>
      <c r="O256" s="402">
        <f t="shared" si="59"/>
        <v>0</v>
      </c>
      <c r="P256" s="403"/>
      <c r="Q256" s="212"/>
      <c r="R256" s="213"/>
      <c r="S256" s="402">
        <f t="shared" si="60"/>
        <v>0</v>
      </c>
      <c r="T256" s="404">
        <f t="shared" si="82"/>
        <v>0</v>
      </c>
      <c r="U256" s="403"/>
      <c r="V256" s="144" t="str">
        <f>IF(T254&gt;0,"xx",IF(O254&gt;0,"xy",""))</f>
        <v/>
      </c>
      <c r="W256" s="43" t="str">
        <f t="shared" si="73"/>
        <v/>
      </c>
      <c r="X256" s="43" t="str">
        <f t="shared" si="71"/>
        <v/>
      </c>
      <c r="Y256" s="43" t="str">
        <f t="shared" si="72"/>
        <v/>
      </c>
    </row>
    <row r="257" spans="1:25" hidden="1">
      <c r="A257" s="155">
        <v>173010</v>
      </c>
      <c r="B257" s="156" t="s">
        <v>242</v>
      </c>
      <c r="C257" s="348" t="s">
        <v>316</v>
      </c>
      <c r="D257" s="157"/>
      <c r="E257" s="405">
        <v>500</v>
      </c>
      <c r="F257" s="214" t="s">
        <v>95</v>
      </c>
      <c r="G257" s="162">
        <f>(0.42*E257+20.61)*F257</f>
        <v>0.41509800000000002</v>
      </c>
      <c r="H257" s="465"/>
      <c r="I257" s="465" t="str">
        <f t="shared" si="86"/>
        <v/>
      </c>
      <c r="J257" s="407">
        <f t="shared" si="81"/>
        <v>0</v>
      </c>
      <c r="K257" s="394" t="s">
        <v>1029</v>
      </c>
      <c r="L257" s="152">
        <v>0</v>
      </c>
      <c r="M257" s="213"/>
      <c r="N257" s="402">
        <f t="shared" si="58"/>
        <v>0</v>
      </c>
      <c r="O257" s="402">
        <f t="shared" si="59"/>
        <v>0</v>
      </c>
      <c r="P257" s="403"/>
      <c r="Q257" s="212"/>
      <c r="R257" s="213"/>
      <c r="S257" s="402">
        <f t="shared" si="60"/>
        <v>0</v>
      </c>
      <c r="T257" s="404">
        <f t="shared" si="82"/>
        <v>0</v>
      </c>
      <c r="U257" s="403"/>
      <c r="V257" s="144" t="str">
        <f>IF($T$131&gt;0,"xx",IF($O$131&gt;0,"xy",""))</f>
        <v/>
      </c>
      <c r="W257" s="43" t="str">
        <f t="shared" si="73"/>
        <v/>
      </c>
      <c r="X257" s="43" t="str">
        <f t="shared" si="71"/>
        <v/>
      </c>
      <c r="Y257" s="43" t="str">
        <f t="shared" si="72"/>
        <v/>
      </c>
    </row>
    <row r="258" spans="1:25" hidden="1">
      <c r="A258" s="155" t="s">
        <v>183</v>
      </c>
      <c r="B258" s="156"/>
      <c r="C258" s="349" t="s">
        <v>317</v>
      </c>
      <c r="D258" s="157"/>
      <c r="E258" s="405">
        <v>20</v>
      </c>
      <c r="F258" s="406" t="s">
        <v>92</v>
      </c>
      <c r="G258" s="412">
        <f>IF(E258&lt;=30,(0.6*E258+1.25)*F258,((0.6*30+1.25)+0.5*(E258-30))*F258)</f>
        <v>3.1799999999999995E-2</v>
      </c>
      <c r="H258" s="465"/>
      <c r="I258" s="465" t="str">
        <f t="shared" si="86"/>
        <v/>
      </c>
      <c r="J258" s="407">
        <f t="shared" si="81"/>
        <v>0</v>
      </c>
      <c r="K258" s="394" t="s">
        <v>1029</v>
      </c>
      <c r="L258" s="152">
        <v>0</v>
      </c>
      <c r="M258" s="213"/>
      <c r="N258" s="402">
        <f t="shared" si="58"/>
        <v>0</v>
      </c>
      <c r="O258" s="402">
        <f t="shared" si="59"/>
        <v>0</v>
      </c>
      <c r="P258" s="403"/>
      <c r="Q258" s="212"/>
      <c r="R258" s="213"/>
      <c r="S258" s="402">
        <f t="shared" si="60"/>
        <v>0</v>
      </c>
      <c r="T258" s="404">
        <f t="shared" si="82"/>
        <v>0</v>
      </c>
      <c r="U258" s="403"/>
      <c r="V258" s="144" t="str">
        <f>IF($T$131&gt;0,"xx",IF($O$131&gt;0,"xy",""))</f>
        <v/>
      </c>
      <c r="W258" s="43" t="str">
        <f t="shared" si="73"/>
        <v/>
      </c>
      <c r="X258" s="43" t="str">
        <f t="shared" si="71"/>
        <v/>
      </c>
      <c r="Y258" s="43" t="str">
        <f t="shared" si="72"/>
        <v/>
      </c>
    </row>
    <row r="259" spans="1:25" hidden="1">
      <c r="A259" s="155">
        <v>562200</v>
      </c>
      <c r="B259" s="156" t="s">
        <v>242</v>
      </c>
      <c r="C259" s="411" t="s">
        <v>319</v>
      </c>
      <c r="D259" s="351">
        <v>1</v>
      </c>
      <c r="E259" s="405"/>
      <c r="F259" s="406"/>
      <c r="G259" s="158">
        <f>SUM(G260:G263)</f>
        <v>1.1386749999999999</v>
      </c>
      <c r="H259" s="465">
        <f>F262*2060.48*(1+$E$9)/(1+$E$10)+2.41</f>
        <v>6.2059631545741327</v>
      </c>
      <c r="I259" s="465">
        <f t="shared" si="86"/>
        <v>7.3446381545741328</v>
      </c>
      <c r="J259" s="407">
        <f t="shared" si="81"/>
        <v>9.31</v>
      </c>
      <c r="K259" s="408" t="s">
        <v>18</v>
      </c>
      <c r="L259" s="152">
        <v>0</v>
      </c>
      <c r="M259" s="152"/>
      <c r="N259" s="402">
        <f t="shared" si="58"/>
        <v>0</v>
      </c>
      <c r="O259" s="402">
        <f t="shared" si="59"/>
        <v>0</v>
      </c>
      <c r="P259" s="403"/>
      <c r="Q259" s="152">
        <f t="shared" si="54"/>
        <v>0</v>
      </c>
      <c r="R259" s="152">
        <f t="shared" si="54"/>
        <v>0</v>
      </c>
      <c r="S259" s="402">
        <f t="shared" si="60"/>
        <v>0</v>
      </c>
      <c r="T259" s="404">
        <f t="shared" si="82"/>
        <v>0</v>
      </c>
      <c r="U259" s="403"/>
      <c r="W259" s="43" t="str">
        <f t="shared" si="73"/>
        <v/>
      </c>
      <c r="X259" s="43" t="str">
        <f t="shared" si="71"/>
        <v/>
      </c>
      <c r="Y259" s="43" t="str">
        <f t="shared" si="72"/>
        <v/>
      </c>
    </row>
    <row r="260" spans="1:25" hidden="1">
      <c r="A260" s="155" t="s">
        <v>183</v>
      </c>
      <c r="B260" s="156"/>
      <c r="C260" s="349" t="s">
        <v>314</v>
      </c>
      <c r="D260" s="157"/>
      <c r="E260" s="405">
        <v>180</v>
      </c>
      <c r="F260" s="214" t="s">
        <v>96</v>
      </c>
      <c r="G260" s="412">
        <f>IF(E260&lt;=30,(0.6*E260+1.25)*F260,((0.6*30+1.25)+0.5*(E260-30))*F260)</f>
        <v>0.58434999999999993</v>
      </c>
      <c r="H260" s="465"/>
      <c r="I260" s="465" t="str">
        <f t="shared" si="86"/>
        <v/>
      </c>
      <c r="J260" s="407">
        <f t="shared" si="81"/>
        <v>0</v>
      </c>
      <c r="K260" s="394" t="s">
        <v>1029</v>
      </c>
      <c r="L260" s="152">
        <v>0</v>
      </c>
      <c r="M260" s="213"/>
      <c r="N260" s="402">
        <f t="shared" si="58"/>
        <v>0</v>
      </c>
      <c r="O260" s="402">
        <f t="shared" si="59"/>
        <v>0</v>
      </c>
      <c r="P260" s="403"/>
      <c r="Q260" s="212"/>
      <c r="R260" s="213"/>
      <c r="S260" s="402">
        <f t="shared" si="60"/>
        <v>0</v>
      </c>
      <c r="T260" s="404">
        <f t="shared" si="82"/>
        <v>0</v>
      </c>
      <c r="U260" s="403"/>
      <c r="V260" s="144" t="str">
        <f>IF(T259&gt;0,"xx",IF(O259&gt;0,"xy",""))</f>
        <v/>
      </c>
      <c r="W260" s="43" t="str">
        <f t="shared" si="73"/>
        <v/>
      </c>
      <c r="X260" s="43" t="str">
        <f t="shared" si="71"/>
        <v/>
      </c>
      <c r="Y260" s="43" t="str">
        <f t="shared" si="72"/>
        <v/>
      </c>
    </row>
    <row r="261" spans="1:25" hidden="1">
      <c r="A261" s="155" t="s">
        <v>183</v>
      </c>
      <c r="B261" s="156"/>
      <c r="C261" s="349" t="s">
        <v>315</v>
      </c>
      <c r="D261" s="157"/>
      <c r="E261" s="405">
        <v>500</v>
      </c>
      <c r="F261" s="214" t="s">
        <v>94</v>
      </c>
      <c r="G261" s="158">
        <f>IF(E261&lt;=30,(0.42*E261+3.55)*F261,((0.42*30+3.55)+0.35*(E261-30))*F261)</f>
        <v>3.6130000000000002E-2</v>
      </c>
      <c r="H261" s="465"/>
      <c r="I261" s="465" t="str">
        <f t="shared" si="86"/>
        <v/>
      </c>
      <c r="J261" s="407">
        <f t="shared" si="81"/>
        <v>0</v>
      </c>
      <c r="K261" s="394" t="s">
        <v>1029</v>
      </c>
      <c r="L261" s="152">
        <v>0</v>
      </c>
      <c r="M261" s="213"/>
      <c r="N261" s="402">
        <f t="shared" si="58"/>
        <v>0</v>
      </c>
      <c r="O261" s="402">
        <f t="shared" si="59"/>
        <v>0</v>
      </c>
      <c r="P261" s="403"/>
      <c r="Q261" s="212"/>
      <c r="R261" s="213"/>
      <c r="S261" s="402">
        <f t="shared" si="60"/>
        <v>0</v>
      </c>
      <c r="T261" s="404">
        <f t="shared" si="82"/>
        <v>0</v>
      </c>
      <c r="U261" s="403"/>
      <c r="V261" s="144" t="str">
        <f>IF(T259&gt;0,"xx",IF(O259&gt;0,"xy",""))</f>
        <v/>
      </c>
      <c r="W261" s="43" t="str">
        <f t="shared" si="73"/>
        <v/>
      </c>
      <c r="X261" s="43" t="str">
        <f t="shared" si="71"/>
        <v/>
      </c>
      <c r="Y261" s="43" t="str">
        <f t="shared" si="72"/>
        <v/>
      </c>
    </row>
    <row r="262" spans="1:25" hidden="1">
      <c r="A262" s="155">
        <v>173010</v>
      </c>
      <c r="B262" s="156" t="s">
        <v>242</v>
      </c>
      <c r="C262" s="348" t="s">
        <v>316</v>
      </c>
      <c r="D262" s="157"/>
      <c r="E262" s="405">
        <v>500</v>
      </c>
      <c r="F262" s="214" t="s">
        <v>97</v>
      </c>
      <c r="G262" s="162">
        <f>(0.42*E262+20.61)*F262</f>
        <v>0.46122000000000002</v>
      </c>
      <c r="H262" s="465"/>
      <c r="I262" s="465" t="str">
        <f t="shared" si="86"/>
        <v/>
      </c>
      <c r="J262" s="407">
        <f t="shared" si="81"/>
        <v>0</v>
      </c>
      <c r="K262" s="394" t="s">
        <v>1029</v>
      </c>
      <c r="L262" s="152">
        <v>0</v>
      </c>
      <c r="M262" s="213"/>
      <c r="N262" s="402">
        <f t="shared" si="58"/>
        <v>0</v>
      </c>
      <c r="O262" s="402">
        <f t="shared" si="59"/>
        <v>0</v>
      </c>
      <c r="P262" s="403"/>
      <c r="Q262" s="212"/>
      <c r="R262" s="213"/>
      <c r="S262" s="402">
        <f t="shared" si="60"/>
        <v>0</v>
      </c>
      <c r="T262" s="404">
        <f t="shared" si="82"/>
        <v>0</v>
      </c>
      <c r="U262" s="403"/>
      <c r="V262" s="144" t="str">
        <f>IF($T$131&gt;0,"xx",IF($O$131&gt;0,"xy",""))</f>
        <v/>
      </c>
      <c r="W262" s="43" t="str">
        <f t="shared" si="73"/>
        <v/>
      </c>
      <c r="X262" s="43" t="str">
        <f t="shared" si="71"/>
        <v/>
      </c>
      <c r="Y262" s="43" t="str">
        <f t="shared" si="72"/>
        <v/>
      </c>
    </row>
    <row r="263" spans="1:25" hidden="1">
      <c r="A263" s="155" t="s">
        <v>183</v>
      </c>
      <c r="B263" s="156"/>
      <c r="C263" s="349" t="s">
        <v>317</v>
      </c>
      <c r="D263" s="157"/>
      <c r="E263" s="405">
        <v>20</v>
      </c>
      <c r="F263" s="406" t="s">
        <v>98</v>
      </c>
      <c r="G263" s="412">
        <f>IF(E263&lt;=30,(0.6*E263+1.25)*F263,((0.6*30+1.25)+0.5*(E263-30))*F263)</f>
        <v>5.6974999999999998E-2</v>
      </c>
      <c r="H263" s="465"/>
      <c r="I263" s="465" t="str">
        <f t="shared" si="86"/>
        <v/>
      </c>
      <c r="J263" s="407">
        <f t="shared" si="81"/>
        <v>0</v>
      </c>
      <c r="K263" s="394" t="s">
        <v>1029</v>
      </c>
      <c r="L263" s="152">
        <v>0</v>
      </c>
      <c r="M263" s="213"/>
      <c r="N263" s="402">
        <f t="shared" si="58"/>
        <v>0</v>
      </c>
      <c r="O263" s="402">
        <f t="shared" si="59"/>
        <v>0</v>
      </c>
      <c r="P263" s="403"/>
      <c r="Q263" s="212"/>
      <c r="R263" s="213"/>
      <c r="S263" s="402">
        <f t="shared" si="60"/>
        <v>0</v>
      </c>
      <c r="T263" s="404">
        <f t="shared" si="82"/>
        <v>0</v>
      </c>
      <c r="U263" s="403"/>
      <c r="V263" s="144" t="str">
        <f>IF($T$131&gt;0,"xx",IF($O$131&gt;0,"xy",""))</f>
        <v/>
      </c>
      <c r="W263" s="43" t="str">
        <f t="shared" si="73"/>
        <v/>
      </c>
      <c r="X263" s="43" t="str">
        <f t="shared" si="71"/>
        <v/>
      </c>
      <c r="Y263" s="43" t="str">
        <f t="shared" si="72"/>
        <v/>
      </c>
    </row>
    <row r="264" spans="1:25" hidden="1">
      <c r="A264" s="155">
        <v>562200</v>
      </c>
      <c r="B264" s="156" t="s">
        <v>242</v>
      </c>
      <c r="C264" s="411" t="s">
        <v>320</v>
      </c>
      <c r="D264" s="351">
        <v>1</v>
      </c>
      <c r="E264" s="405"/>
      <c r="F264" s="406"/>
      <c r="G264" s="158">
        <f>SUM(G265:G268)</f>
        <v>1.9020709999999998</v>
      </c>
      <c r="H264" s="465">
        <f>F267*2060.48*(1+$E$9)/(1+$E$10)+2.41</f>
        <v>7.3447521009463728</v>
      </c>
      <c r="I264" s="465">
        <f t="shared" si="86"/>
        <v>9.2468231009463722</v>
      </c>
      <c r="J264" s="407">
        <f t="shared" si="81"/>
        <v>11.72</v>
      </c>
      <c r="K264" s="408" t="s">
        <v>18</v>
      </c>
      <c r="L264" s="152">
        <v>0</v>
      </c>
      <c r="M264" s="152"/>
      <c r="N264" s="402">
        <f t="shared" si="58"/>
        <v>0</v>
      </c>
      <c r="O264" s="402">
        <f t="shared" si="59"/>
        <v>0</v>
      </c>
      <c r="P264" s="403"/>
      <c r="Q264" s="152">
        <f t="shared" ref="Q264:R322" si="87">L264</f>
        <v>0</v>
      </c>
      <c r="R264" s="152">
        <f t="shared" si="87"/>
        <v>0</v>
      </c>
      <c r="S264" s="402">
        <f t="shared" si="60"/>
        <v>0</v>
      </c>
      <c r="T264" s="404">
        <f t="shared" si="82"/>
        <v>0</v>
      </c>
      <c r="U264" s="403"/>
      <c r="W264" s="43" t="str">
        <f t="shared" si="73"/>
        <v/>
      </c>
      <c r="X264" s="43" t="str">
        <f t="shared" ref="X264:X327" si="88">IF(V264="X","x",IF(V264="y","x",IF(V264="xx","x",IF(T264&gt;0,"x",""))))</f>
        <v/>
      </c>
      <c r="Y264" s="43" t="str">
        <f t="shared" si="72"/>
        <v/>
      </c>
    </row>
    <row r="265" spans="1:25" hidden="1">
      <c r="A265" s="155" t="s">
        <v>183</v>
      </c>
      <c r="B265" s="156"/>
      <c r="C265" s="349" t="s">
        <v>314</v>
      </c>
      <c r="D265" s="157"/>
      <c r="E265" s="405">
        <v>180</v>
      </c>
      <c r="F265" s="214" t="s">
        <v>99</v>
      </c>
      <c r="G265" s="412">
        <f>IF(E265&lt;=30,(0.6*E265+1.25)*F265,((0.6*30+1.25)+0.5*(E265-30))*F265)</f>
        <v>1.121575</v>
      </c>
      <c r="H265" s="465"/>
      <c r="I265" s="465" t="str">
        <f t="shared" si="86"/>
        <v/>
      </c>
      <c r="J265" s="407">
        <f t="shared" si="81"/>
        <v>0</v>
      </c>
      <c r="K265" s="394" t="s">
        <v>1029</v>
      </c>
      <c r="L265" s="152">
        <v>0</v>
      </c>
      <c r="M265" s="213"/>
      <c r="N265" s="402">
        <f t="shared" si="58"/>
        <v>0</v>
      </c>
      <c r="O265" s="402">
        <f t="shared" si="59"/>
        <v>0</v>
      </c>
      <c r="P265" s="403"/>
      <c r="Q265" s="212"/>
      <c r="R265" s="213"/>
      <c r="S265" s="402">
        <f t="shared" si="60"/>
        <v>0</v>
      </c>
      <c r="T265" s="404">
        <f t="shared" si="82"/>
        <v>0</v>
      </c>
      <c r="U265" s="403"/>
      <c r="V265" s="144" t="str">
        <f>IF(T264&gt;0,"xx",IF(O264&gt;0,"xy",""))</f>
        <v/>
      </c>
      <c r="W265" s="43" t="str">
        <f t="shared" si="73"/>
        <v/>
      </c>
      <c r="X265" s="43" t="str">
        <f t="shared" si="88"/>
        <v/>
      </c>
      <c r="Y265" s="43" t="str">
        <f t="shared" si="72"/>
        <v/>
      </c>
    </row>
    <row r="266" spans="1:25" hidden="1">
      <c r="A266" s="155" t="s">
        <v>183</v>
      </c>
      <c r="B266" s="156"/>
      <c r="C266" s="349" t="s">
        <v>315</v>
      </c>
      <c r="D266" s="157"/>
      <c r="E266" s="405">
        <v>500</v>
      </c>
      <c r="F266" s="214" t="s">
        <v>100</v>
      </c>
      <c r="G266" s="158">
        <f>IF(E266&lt;=30,(0.42*E266+3.55)*F266,((0.42*30+3.55)+0.35*(E266-30))*F266)</f>
        <v>7.2260000000000005E-2</v>
      </c>
      <c r="H266" s="465"/>
      <c r="I266" s="465" t="str">
        <f t="shared" si="86"/>
        <v/>
      </c>
      <c r="J266" s="407">
        <f t="shared" si="81"/>
        <v>0</v>
      </c>
      <c r="K266" s="394" t="s">
        <v>1029</v>
      </c>
      <c r="L266" s="152">
        <v>0</v>
      </c>
      <c r="M266" s="213"/>
      <c r="N266" s="402">
        <f t="shared" si="58"/>
        <v>0</v>
      </c>
      <c r="O266" s="402">
        <f t="shared" si="59"/>
        <v>0</v>
      </c>
      <c r="P266" s="403"/>
      <c r="Q266" s="212"/>
      <c r="R266" s="213"/>
      <c r="S266" s="402">
        <f t="shared" si="60"/>
        <v>0</v>
      </c>
      <c r="T266" s="404">
        <f t="shared" si="82"/>
        <v>0</v>
      </c>
      <c r="U266" s="403"/>
      <c r="V266" s="144" t="str">
        <f>IF(T264&gt;0,"xx",IF(O264&gt;0,"xy",""))</f>
        <v/>
      </c>
      <c r="W266" s="43" t="str">
        <f t="shared" si="73"/>
        <v/>
      </c>
      <c r="X266" s="43" t="str">
        <f t="shared" si="88"/>
        <v/>
      </c>
      <c r="Y266" s="43" t="str">
        <f t="shared" si="72"/>
        <v/>
      </c>
    </row>
    <row r="267" spans="1:25" hidden="1">
      <c r="A267" s="155">
        <v>173010</v>
      </c>
      <c r="B267" s="156" t="s">
        <v>242</v>
      </c>
      <c r="C267" s="348" t="s">
        <v>316</v>
      </c>
      <c r="D267" s="157"/>
      <c r="E267" s="405">
        <v>500</v>
      </c>
      <c r="F267" s="214" t="s">
        <v>101</v>
      </c>
      <c r="G267" s="162">
        <f>(0.42*E267+20.61)*F267</f>
        <v>0.59958600000000006</v>
      </c>
      <c r="H267" s="465"/>
      <c r="I267" s="465" t="str">
        <f t="shared" si="86"/>
        <v/>
      </c>
      <c r="J267" s="407">
        <f t="shared" si="81"/>
        <v>0</v>
      </c>
      <c r="K267" s="394" t="s">
        <v>1029</v>
      </c>
      <c r="L267" s="152">
        <v>0</v>
      </c>
      <c r="M267" s="213"/>
      <c r="N267" s="402">
        <f t="shared" si="58"/>
        <v>0</v>
      </c>
      <c r="O267" s="402">
        <f t="shared" si="59"/>
        <v>0</v>
      </c>
      <c r="P267" s="403"/>
      <c r="Q267" s="212"/>
      <c r="R267" s="213"/>
      <c r="S267" s="402">
        <f t="shared" si="60"/>
        <v>0</v>
      </c>
      <c r="T267" s="404">
        <f t="shared" si="82"/>
        <v>0</v>
      </c>
      <c r="U267" s="403"/>
      <c r="V267" s="144" t="str">
        <f>IF($T$131&gt;0,"xx",IF($O$131&gt;0,"xy",""))</f>
        <v/>
      </c>
      <c r="W267" s="43" t="str">
        <f t="shared" si="73"/>
        <v/>
      </c>
      <c r="X267" s="43" t="str">
        <f t="shared" si="88"/>
        <v/>
      </c>
      <c r="Y267" s="43" t="str">
        <f t="shared" si="72"/>
        <v/>
      </c>
    </row>
    <row r="268" spans="1:25" hidden="1">
      <c r="A268" s="155" t="s">
        <v>183</v>
      </c>
      <c r="B268" s="156"/>
      <c r="C268" s="349" t="s">
        <v>317</v>
      </c>
      <c r="D268" s="157"/>
      <c r="E268" s="405">
        <v>20</v>
      </c>
      <c r="F268" s="406" t="s">
        <v>102</v>
      </c>
      <c r="G268" s="412">
        <f>IF(E268&lt;=30,(0.6*E268+1.25)*F268,((0.6*30+1.25)+0.5*(E268-30))*F268)</f>
        <v>0.10865000000000001</v>
      </c>
      <c r="H268" s="465"/>
      <c r="I268" s="465" t="str">
        <f t="shared" si="86"/>
        <v/>
      </c>
      <c r="J268" s="407">
        <f t="shared" si="81"/>
        <v>0</v>
      </c>
      <c r="K268" s="394" t="s">
        <v>1029</v>
      </c>
      <c r="L268" s="152">
        <v>0</v>
      </c>
      <c r="M268" s="213"/>
      <c r="N268" s="402">
        <f t="shared" si="58"/>
        <v>0</v>
      </c>
      <c r="O268" s="402">
        <f t="shared" si="59"/>
        <v>0</v>
      </c>
      <c r="P268" s="403"/>
      <c r="Q268" s="212"/>
      <c r="R268" s="213"/>
      <c r="S268" s="402">
        <f t="shared" si="60"/>
        <v>0</v>
      </c>
      <c r="T268" s="404">
        <f t="shared" si="82"/>
        <v>0</v>
      </c>
      <c r="U268" s="403"/>
      <c r="V268" s="144" t="str">
        <f>IF($T$131&gt;0,"xx",IF($O$131&gt;0,"xy",""))</f>
        <v/>
      </c>
      <c r="W268" s="43" t="str">
        <f t="shared" si="73"/>
        <v/>
      </c>
      <c r="X268" s="43" t="str">
        <f t="shared" si="88"/>
        <v/>
      </c>
      <c r="Y268" s="43" t="str">
        <f t="shared" si="72"/>
        <v/>
      </c>
    </row>
    <row r="269" spans="1:25" hidden="1">
      <c r="A269" s="155">
        <v>587000</v>
      </c>
      <c r="B269" s="156" t="s">
        <v>242</v>
      </c>
      <c r="C269" s="411" t="s">
        <v>321</v>
      </c>
      <c r="D269" s="351">
        <v>1</v>
      </c>
      <c r="E269" s="405"/>
      <c r="F269" s="406"/>
      <c r="G269" s="158">
        <f>SUM(G270:G271)</f>
        <v>0.54466499999999995</v>
      </c>
      <c r="H269" s="465">
        <f>F270*2071.1*(1+$E$9)/(1+$E$10)+2.6</f>
        <v>5.4616460567823344</v>
      </c>
      <c r="I269" s="465">
        <f t="shared" si="86"/>
        <v>6.0063110567823346</v>
      </c>
      <c r="J269" s="407">
        <f t="shared" si="81"/>
        <v>7.62</v>
      </c>
      <c r="K269" s="408" t="s">
        <v>18</v>
      </c>
      <c r="L269" s="152">
        <v>0</v>
      </c>
      <c r="M269" s="152"/>
      <c r="N269" s="402">
        <f t="shared" si="58"/>
        <v>0</v>
      </c>
      <c r="O269" s="402">
        <f t="shared" si="59"/>
        <v>0</v>
      </c>
      <c r="P269" s="403"/>
      <c r="Q269" s="152">
        <f t="shared" si="87"/>
        <v>0</v>
      </c>
      <c r="R269" s="152">
        <f t="shared" si="87"/>
        <v>0</v>
      </c>
      <c r="S269" s="402">
        <f t="shared" si="60"/>
        <v>0</v>
      </c>
      <c r="T269" s="404">
        <f t="shared" si="82"/>
        <v>0</v>
      </c>
      <c r="U269" s="403"/>
      <c r="W269" s="43" t="str">
        <f t="shared" si="73"/>
        <v/>
      </c>
      <c r="X269" s="43" t="str">
        <f t="shared" si="88"/>
        <v/>
      </c>
      <c r="Y269" s="43" t="str">
        <f t="shared" si="72"/>
        <v/>
      </c>
    </row>
    <row r="270" spans="1:25" hidden="1">
      <c r="A270" s="155">
        <v>173050</v>
      </c>
      <c r="B270" s="156" t="s">
        <v>281</v>
      </c>
      <c r="C270" s="348" t="s">
        <v>322</v>
      </c>
      <c r="D270" s="157"/>
      <c r="E270" s="405">
        <v>500</v>
      </c>
      <c r="F270" s="214">
        <v>1.5E-3</v>
      </c>
      <c r="G270" s="162">
        <f>(0.42*E270+20.61)*F270</f>
        <v>0.34591500000000003</v>
      </c>
      <c r="H270" s="465"/>
      <c r="I270" s="465" t="str">
        <f t="shared" si="86"/>
        <v/>
      </c>
      <c r="J270" s="407">
        <f t="shared" si="81"/>
        <v>0</v>
      </c>
      <c r="K270" s="394" t="s">
        <v>1029</v>
      </c>
      <c r="L270" s="152">
        <v>0</v>
      </c>
      <c r="M270" s="213"/>
      <c r="N270" s="402">
        <f t="shared" si="58"/>
        <v>0</v>
      </c>
      <c r="O270" s="402">
        <f t="shared" si="59"/>
        <v>0</v>
      </c>
      <c r="P270" s="403"/>
      <c r="Q270" s="212"/>
      <c r="R270" s="213"/>
      <c r="S270" s="402">
        <f t="shared" si="60"/>
        <v>0</v>
      </c>
      <c r="T270" s="404">
        <f t="shared" si="82"/>
        <v>0</v>
      </c>
      <c r="U270" s="403"/>
      <c r="V270" s="144" t="str">
        <f>IF(T269&gt;0,"xx",IF(O269&gt;0,"xy",""))</f>
        <v/>
      </c>
      <c r="W270" s="43" t="str">
        <f t="shared" si="73"/>
        <v/>
      </c>
      <c r="X270" s="43" t="str">
        <f t="shared" si="88"/>
        <v/>
      </c>
      <c r="Y270" s="43" t="str">
        <f t="shared" si="72"/>
        <v/>
      </c>
    </row>
    <row r="271" spans="1:25" hidden="1">
      <c r="A271" s="155" t="s">
        <v>183</v>
      </c>
      <c r="B271" s="156"/>
      <c r="C271" s="348" t="s">
        <v>323</v>
      </c>
      <c r="D271" s="157"/>
      <c r="E271" s="182">
        <v>20</v>
      </c>
      <c r="F271" s="161">
        <v>1.4999999999999999E-2</v>
      </c>
      <c r="G271" s="412">
        <f>IF(E271&lt;=30,(0.6*E271+1.25)*F271,((0.6*30+1.25)+0.5*(E271-30))*F271)</f>
        <v>0.19874999999999998</v>
      </c>
      <c r="H271" s="465"/>
      <c r="I271" s="465" t="str">
        <f t="shared" si="86"/>
        <v/>
      </c>
      <c r="J271" s="407">
        <f t="shared" si="81"/>
        <v>0</v>
      </c>
      <c r="K271" s="394" t="s">
        <v>1029</v>
      </c>
      <c r="L271" s="152">
        <v>0</v>
      </c>
      <c r="M271" s="213"/>
      <c r="N271" s="402">
        <f t="shared" si="58"/>
        <v>0</v>
      </c>
      <c r="O271" s="402">
        <f t="shared" si="59"/>
        <v>0</v>
      </c>
      <c r="P271" s="403"/>
      <c r="Q271" s="212"/>
      <c r="R271" s="213"/>
      <c r="S271" s="402">
        <f t="shared" si="60"/>
        <v>0</v>
      </c>
      <c r="T271" s="404">
        <f t="shared" si="82"/>
        <v>0</v>
      </c>
      <c r="U271" s="403"/>
      <c r="V271" s="144" t="str">
        <f>IF(T269&gt;0,"xx",IF(O269&gt;0,"xy",""))</f>
        <v/>
      </c>
      <c r="W271" s="43" t="str">
        <f t="shared" si="73"/>
        <v/>
      </c>
      <c r="X271" s="43" t="str">
        <f t="shared" si="88"/>
        <v/>
      </c>
      <c r="Y271" s="43" t="str">
        <f t="shared" si="72"/>
        <v/>
      </c>
    </row>
    <row r="272" spans="1:25" hidden="1">
      <c r="A272" s="155">
        <v>581100</v>
      </c>
      <c r="B272" s="156" t="s">
        <v>242</v>
      </c>
      <c r="C272" s="411" t="s">
        <v>324</v>
      </c>
      <c r="D272" s="351">
        <v>1</v>
      </c>
      <c r="E272" s="405"/>
      <c r="F272" s="406"/>
      <c r="G272" s="158">
        <f>SUM(G273:G274)</f>
        <v>1.063366</v>
      </c>
      <c r="H272" s="465">
        <f>F273*2071.1*(1+$E$9)/(1+$E$10)+4</f>
        <v>9.9140685173501559</v>
      </c>
      <c r="I272" s="465">
        <f t="shared" si="86"/>
        <v>10.977434517350156</v>
      </c>
      <c r="J272" s="407">
        <f t="shared" si="81"/>
        <v>13.92</v>
      </c>
      <c r="K272" s="408" t="s">
        <v>18</v>
      </c>
      <c r="L272" s="152">
        <v>0</v>
      </c>
      <c r="M272" s="152"/>
      <c r="N272" s="402">
        <f t="shared" si="58"/>
        <v>0</v>
      </c>
      <c r="O272" s="402">
        <f t="shared" si="59"/>
        <v>0</v>
      </c>
      <c r="P272" s="403"/>
      <c r="Q272" s="152">
        <f t="shared" si="87"/>
        <v>0</v>
      </c>
      <c r="R272" s="152">
        <f t="shared" si="87"/>
        <v>0</v>
      </c>
      <c r="S272" s="402">
        <f t="shared" si="60"/>
        <v>0</v>
      </c>
      <c r="T272" s="404">
        <f t="shared" si="82"/>
        <v>0</v>
      </c>
      <c r="U272" s="403"/>
      <c r="V272" s="144"/>
      <c r="W272" s="43" t="str">
        <f t="shared" si="73"/>
        <v/>
      </c>
      <c r="X272" s="43" t="str">
        <f t="shared" si="88"/>
        <v/>
      </c>
      <c r="Y272" s="43" t="str">
        <f t="shared" si="72"/>
        <v/>
      </c>
    </row>
    <row r="273" spans="1:25" hidden="1">
      <c r="A273" s="155">
        <v>173050</v>
      </c>
      <c r="B273" s="156" t="s">
        <v>281</v>
      </c>
      <c r="C273" s="348" t="s">
        <v>322</v>
      </c>
      <c r="D273" s="157"/>
      <c r="E273" s="405">
        <v>500</v>
      </c>
      <c r="F273" s="406">
        <v>3.0999999999999999E-3</v>
      </c>
      <c r="G273" s="162">
        <f>(0.42*E273+20.61)*F273</f>
        <v>0.71489100000000005</v>
      </c>
      <c r="H273" s="465"/>
      <c r="I273" s="465" t="str">
        <f t="shared" si="86"/>
        <v/>
      </c>
      <c r="J273" s="407">
        <f t="shared" si="81"/>
        <v>0</v>
      </c>
      <c r="K273" s="394" t="s">
        <v>1029</v>
      </c>
      <c r="L273" s="152">
        <v>0</v>
      </c>
      <c r="M273" s="213"/>
      <c r="N273" s="402">
        <f t="shared" si="58"/>
        <v>0</v>
      </c>
      <c r="O273" s="402">
        <f t="shared" si="59"/>
        <v>0</v>
      </c>
      <c r="P273" s="403"/>
      <c r="Q273" s="212"/>
      <c r="R273" s="213"/>
      <c r="S273" s="402">
        <f t="shared" si="60"/>
        <v>0</v>
      </c>
      <c r="T273" s="404">
        <f t="shared" si="82"/>
        <v>0</v>
      </c>
      <c r="U273" s="403"/>
      <c r="V273" s="144" t="str">
        <f>IF(T272&gt;0,"xx",IF(O272&gt;0,"xy",""))</f>
        <v/>
      </c>
      <c r="W273" s="43" t="str">
        <f t="shared" si="73"/>
        <v/>
      </c>
      <c r="X273" s="43" t="str">
        <f t="shared" si="88"/>
        <v/>
      </c>
      <c r="Y273" s="43" t="str">
        <f t="shared" si="72"/>
        <v/>
      </c>
    </row>
    <row r="274" spans="1:25" hidden="1">
      <c r="A274" s="155" t="s">
        <v>183</v>
      </c>
      <c r="B274" s="156"/>
      <c r="C274" s="348" t="s">
        <v>323</v>
      </c>
      <c r="D274" s="157"/>
      <c r="E274" s="182">
        <v>20</v>
      </c>
      <c r="F274" s="406">
        <v>2.63E-2</v>
      </c>
      <c r="G274" s="412">
        <f>IF(E274&lt;=30,(0.6*E274+1.25)*F274,((0.6*30+1.25)+0.5*(E274-30))*F274)</f>
        <v>0.34847499999999998</v>
      </c>
      <c r="H274" s="465"/>
      <c r="I274" s="465" t="str">
        <f t="shared" si="86"/>
        <v/>
      </c>
      <c r="J274" s="407">
        <f t="shared" si="81"/>
        <v>0</v>
      </c>
      <c r="K274" s="394" t="s">
        <v>1029</v>
      </c>
      <c r="L274" s="152">
        <v>0</v>
      </c>
      <c r="M274" s="213"/>
      <c r="N274" s="402">
        <f t="shared" si="58"/>
        <v>0</v>
      </c>
      <c r="O274" s="402">
        <f t="shared" si="59"/>
        <v>0</v>
      </c>
      <c r="P274" s="403"/>
      <c r="Q274" s="212"/>
      <c r="R274" s="213"/>
      <c r="S274" s="402">
        <f t="shared" si="60"/>
        <v>0</v>
      </c>
      <c r="T274" s="404">
        <f t="shared" si="82"/>
        <v>0</v>
      </c>
      <c r="U274" s="403"/>
      <c r="V274" s="144" t="str">
        <f>IF(T272&gt;0,"xx",IF(O272&gt;0,"xy",""))</f>
        <v/>
      </c>
      <c r="W274" s="43" t="str">
        <f t="shared" si="73"/>
        <v/>
      </c>
      <c r="X274" s="43" t="str">
        <f t="shared" si="88"/>
        <v/>
      </c>
      <c r="Y274" s="43" t="str">
        <f t="shared" ref="Y274:Y343" si="89">IF(V274="X","x",IF(T274&gt;0,"x",""))</f>
        <v/>
      </c>
    </row>
    <row r="275" spans="1:25" hidden="1">
      <c r="A275" s="155">
        <v>582100</v>
      </c>
      <c r="B275" s="156" t="s">
        <v>242</v>
      </c>
      <c r="C275" s="411" t="s">
        <v>325</v>
      </c>
      <c r="D275" s="351">
        <v>1</v>
      </c>
      <c r="E275" s="405"/>
      <c r="F275" s="406"/>
      <c r="G275" s="158">
        <f>SUM(G276:G277)</f>
        <v>1.188199</v>
      </c>
      <c r="H275" s="465">
        <f>F276*2071.1*(1+$E$9)/(1+$E$10)+4</f>
        <v>10.486397728706624</v>
      </c>
      <c r="I275" s="465">
        <f t="shared" si="86"/>
        <v>11.674596728706625</v>
      </c>
      <c r="J275" s="407">
        <f t="shared" si="81"/>
        <v>14.8</v>
      </c>
      <c r="K275" s="408" t="s">
        <v>18</v>
      </c>
      <c r="L275" s="152">
        <v>0</v>
      </c>
      <c r="M275" s="152"/>
      <c r="N275" s="402">
        <f t="shared" si="58"/>
        <v>0</v>
      </c>
      <c r="O275" s="402">
        <f t="shared" si="59"/>
        <v>0</v>
      </c>
      <c r="P275" s="403"/>
      <c r="Q275" s="152">
        <f t="shared" si="87"/>
        <v>0</v>
      </c>
      <c r="R275" s="152">
        <f t="shared" si="87"/>
        <v>0</v>
      </c>
      <c r="S275" s="402">
        <f t="shared" si="60"/>
        <v>0</v>
      </c>
      <c r="T275" s="404">
        <f t="shared" si="82"/>
        <v>0</v>
      </c>
      <c r="U275" s="403"/>
      <c r="W275" s="43" t="str">
        <f t="shared" si="73"/>
        <v/>
      </c>
      <c r="X275" s="43" t="str">
        <f t="shared" si="88"/>
        <v/>
      </c>
      <c r="Y275" s="43" t="str">
        <f t="shared" si="89"/>
        <v/>
      </c>
    </row>
    <row r="276" spans="1:25" hidden="1">
      <c r="A276" s="155">
        <v>173050</v>
      </c>
      <c r="B276" s="156" t="s">
        <v>281</v>
      </c>
      <c r="C276" s="348" t="s">
        <v>322</v>
      </c>
      <c r="D276" s="157"/>
      <c r="E276" s="405">
        <v>500</v>
      </c>
      <c r="F276" s="406">
        <v>3.3999999999999998E-3</v>
      </c>
      <c r="G276" s="162">
        <f>(0.42*E276+20.61)*F276</f>
        <v>0.78407400000000005</v>
      </c>
      <c r="H276" s="465"/>
      <c r="I276" s="465" t="str">
        <f t="shared" si="86"/>
        <v/>
      </c>
      <c r="J276" s="407">
        <f t="shared" si="81"/>
        <v>0</v>
      </c>
      <c r="K276" s="394" t="s">
        <v>1029</v>
      </c>
      <c r="L276" s="152">
        <v>0</v>
      </c>
      <c r="M276" s="213"/>
      <c r="N276" s="402">
        <f t="shared" ref="N276:N345" si="90">IF(ISBLANK(L276),0,ROUND(J276*L276,2))</f>
        <v>0</v>
      </c>
      <c r="O276" s="402">
        <f t="shared" ref="O276:O345" si="91">IF(ISBLANK(M276),0,ROUND(L276*M276,2))</f>
        <v>0</v>
      </c>
      <c r="P276" s="403"/>
      <c r="Q276" s="212"/>
      <c r="R276" s="213"/>
      <c r="S276" s="402">
        <f t="shared" ref="S276:S345" si="92">IF(ISBLANK(Q276),0,ROUND(J276*Q276,2))</f>
        <v>0</v>
      </c>
      <c r="T276" s="404">
        <f t="shared" si="82"/>
        <v>0</v>
      </c>
      <c r="U276" s="403"/>
      <c r="V276" s="144" t="str">
        <f>IF(T275&gt;0,"xx",IF(O275&gt;0,"xy",""))</f>
        <v/>
      </c>
      <c r="W276" s="43" t="str">
        <f t="shared" si="73"/>
        <v/>
      </c>
      <c r="X276" s="43" t="str">
        <f t="shared" si="88"/>
        <v/>
      </c>
      <c r="Y276" s="43" t="str">
        <f t="shared" si="89"/>
        <v/>
      </c>
    </row>
    <row r="277" spans="1:25" hidden="1">
      <c r="A277" s="155" t="s">
        <v>183</v>
      </c>
      <c r="B277" s="156"/>
      <c r="C277" s="348" t="s">
        <v>323</v>
      </c>
      <c r="D277" s="157"/>
      <c r="E277" s="182">
        <v>20</v>
      </c>
      <c r="F277" s="406">
        <v>3.0499999999999999E-2</v>
      </c>
      <c r="G277" s="412">
        <f>IF(E277&lt;=30,(0.6*E277+1.25)*F277,((0.6*30+1.25)+0.5*(E277-30))*F277)</f>
        <v>0.40412500000000001</v>
      </c>
      <c r="H277" s="465"/>
      <c r="I277" s="465" t="str">
        <f t="shared" si="86"/>
        <v/>
      </c>
      <c r="J277" s="407">
        <f t="shared" si="81"/>
        <v>0</v>
      </c>
      <c r="K277" s="394" t="s">
        <v>1029</v>
      </c>
      <c r="L277" s="152">
        <v>0</v>
      </c>
      <c r="M277" s="213"/>
      <c r="N277" s="402">
        <f t="shared" si="90"/>
        <v>0</v>
      </c>
      <c r="O277" s="402">
        <f t="shared" si="91"/>
        <v>0</v>
      </c>
      <c r="P277" s="403"/>
      <c r="Q277" s="212"/>
      <c r="R277" s="213"/>
      <c r="S277" s="402">
        <f t="shared" si="92"/>
        <v>0</v>
      </c>
      <c r="T277" s="404">
        <f t="shared" si="82"/>
        <v>0</v>
      </c>
      <c r="U277" s="403"/>
      <c r="V277" s="144" t="str">
        <f>IF(T275&gt;0,"xx",IF(O275&gt;0,"xy",""))</f>
        <v/>
      </c>
      <c r="W277" s="43" t="str">
        <f t="shared" si="73"/>
        <v/>
      </c>
      <c r="X277" s="43" t="str">
        <f t="shared" si="88"/>
        <v/>
      </c>
      <c r="Y277" s="43" t="str">
        <f t="shared" si="89"/>
        <v/>
      </c>
    </row>
    <row r="278" spans="1:25" hidden="1">
      <c r="A278" s="155">
        <v>583100</v>
      </c>
      <c r="B278" s="156" t="s">
        <v>242</v>
      </c>
      <c r="C278" s="411" t="s">
        <v>326</v>
      </c>
      <c r="D278" s="351">
        <v>1</v>
      </c>
      <c r="E278" s="405"/>
      <c r="F278" s="406"/>
      <c r="G278" s="158">
        <f>SUM(G279:G280)</f>
        <v>1.363918</v>
      </c>
      <c r="H278" s="465">
        <f>F279*2071.1*(1+$E$9)/(1+$E$10)+4</f>
        <v>11.249503343848581</v>
      </c>
      <c r="I278" s="465">
        <f t="shared" si="86"/>
        <v>12.61342134384858</v>
      </c>
      <c r="J278" s="407">
        <f t="shared" si="81"/>
        <v>15.99</v>
      </c>
      <c r="K278" s="408" t="s">
        <v>18</v>
      </c>
      <c r="L278" s="152">
        <v>0</v>
      </c>
      <c r="M278" s="152"/>
      <c r="N278" s="402">
        <f t="shared" si="90"/>
        <v>0</v>
      </c>
      <c r="O278" s="402">
        <f t="shared" si="91"/>
        <v>0</v>
      </c>
      <c r="P278" s="403"/>
      <c r="Q278" s="152">
        <f t="shared" si="87"/>
        <v>0</v>
      </c>
      <c r="R278" s="152">
        <f t="shared" si="87"/>
        <v>0</v>
      </c>
      <c r="S278" s="402">
        <f t="shared" si="92"/>
        <v>0</v>
      </c>
      <c r="T278" s="404">
        <f t="shared" si="82"/>
        <v>0</v>
      </c>
      <c r="U278" s="403"/>
      <c r="W278" s="43" t="str">
        <f t="shared" si="73"/>
        <v/>
      </c>
      <c r="X278" s="43" t="str">
        <f t="shared" si="88"/>
        <v/>
      </c>
      <c r="Y278" s="43" t="str">
        <f t="shared" si="89"/>
        <v/>
      </c>
    </row>
    <row r="279" spans="1:25" hidden="1">
      <c r="A279" s="155">
        <v>173050</v>
      </c>
      <c r="B279" s="156" t="s">
        <v>281</v>
      </c>
      <c r="C279" s="348" t="s">
        <v>322</v>
      </c>
      <c r="D279" s="157"/>
      <c r="E279" s="405">
        <v>500</v>
      </c>
      <c r="F279" s="406">
        <v>3.8E-3</v>
      </c>
      <c r="G279" s="162">
        <f>(0.42*E279+20.61)*F279</f>
        <v>0.87631800000000004</v>
      </c>
      <c r="H279" s="465"/>
      <c r="I279" s="465" t="str">
        <f t="shared" si="86"/>
        <v/>
      </c>
      <c r="J279" s="407">
        <f t="shared" si="81"/>
        <v>0</v>
      </c>
      <c r="K279" s="394" t="s">
        <v>1029</v>
      </c>
      <c r="L279" s="152">
        <v>0</v>
      </c>
      <c r="M279" s="213"/>
      <c r="N279" s="402">
        <f t="shared" si="90"/>
        <v>0</v>
      </c>
      <c r="O279" s="402">
        <f t="shared" si="91"/>
        <v>0</v>
      </c>
      <c r="P279" s="403"/>
      <c r="Q279" s="212"/>
      <c r="R279" s="213"/>
      <c r="S279" s="402">
        <f t="shared" si="92"/>
        <v>0</v>
      </c>
      <c r="T279" s="404">
        <f t="shared" si="82"/>
        <v>0</v>
      </c>
      <c r="U279" s="403"/>
      <c r="V279" s="144" t="str">
        <f>IF(T278&gt;0,"xx",IF(O278&gt;0,"xy",""))</f>
        <v/>
      </c>
      <c r="W279" s="43" t="str">
        <f t="shared" si="73"/>
        <v/>
      </c>
      <c r="X279" s="43" t="str">
        <f t="shared" si="88"/>
        <v/>
      </c>
      <c r="Y279" s="43" t="str">
        <f t="shared" si="89"/>
        <v/>
      </c>
    </row>
    <row r="280" spans="1:25" hidden="1">
      <c r="A280" s="155" t="s">
        <v>183</v>
      </c>
      <c r="B280" s="156"/>
      <c r="C280" s="348" t="s">
        <v>323</v>
      </c>
      <c r="D280" s="157"/>
      <c r="E280" s="182">
        <v>20</v>
      </c>
      <c r="F280" s="406">
        <v>3.6799999999999999E-2</v>
      </c>
      <c r="G280" s="412">
        <f>IF(E280&lt;=30,(0.6*E280+1.25)*F280,((0.6*30+1.25)+0.5*(E280-30))*F280)</f>
        <v>0.48759999999999998</v>
      </c>
      <c r="H280" s="465"/>
      <c r="I280" s="465" t="str">
        <f t="shared" si="86"/>
        <v/>
      </c>
      <c r="J280" s="407">
        <f t="shared" si="81"/>
        <v>0</v>
      </c>
      <c r="K280" s="394" t="s">
        <v>1029</v>
      </c>
      <c r="L280" s="152">
        <v>0</v>
      </c>
      <c r="M280" s="213"/>
      <c r="N280" s="402">
        <f t="shared" si="90"/>
        <v>0</v>
      </c>
      <c r="O280" s="402">
        <f t="shared" si="91"/>
        <v>0</v>
      </c>
      <c r="P280" s="403"/>
      <c r="Q280" s="212"/>
      <c r="R280" s="213"/>
      <c r="S280" s="402">
        <f t="shared" si="92"/>
        <v>0</v>
      </c>
      <c r="T280" s="404">
        <f t="shared" si="82"/>
        <v>0</v>
      </c>
      <c r="U280" s="403"/>
      <c r="V280" s="144" t="str">
        <f>IF(T278&gt;0,"xx",IF(O278&gt;0,"xy",""))</f>
        <v/>
      </c>
      <c r="W280" s="43" t="str">
        <f t="shared" ref="W280:W349" si="93">IF(V280="X","x",IF(V280="xx","x",IF(V280="xy","x",IF(V280="y","x",IF(OR(O280&gt;0,T280&gt;0),"x","")))))</f>
        <v/>
      </c>
      <c r="X280" s="43" t="str">
        <f t="shared" si="88"/>
        <v/>
      </c>
      <c r="Y280" s="43" t="str">
        <f t="shared" si="89"/>
        <v/>
      </c>
    </row>
    <row r="281" spans="1:25" hidden="1">
      <c r="A281" s="155">
        <v>584200</v>
      </c>
      <c r="B281" s="156" t="s">
        <v>242</v>
      </c>
      <c r="C281" s="411" t="s">
        <v>327</v>
      </c>
      <c r="D281" s="351">
        <v>1</v>
      </c>
      <c r="E281" s="405"/>
      <c r="F281" s="406"/>
      <c r="G281" s="158">
        <f>SUM(G282:G283)</f>
        <v>1.137313</v>
      </c>
      <c r="H281" s="465">
        <f>F282*2071.1*(1+$E$9)/(1+$E$10)+4.98</f>
        <v>11.275621324921136</v>
      </c>
      <c r="I281" s="465">
        <f t="shared" si="86"/>
        <v>12.412934324921137</v>
      </c>
      <c r="J281" s="407">
        <f t="shared" si="81"/>
        <v>15.74</v>
      </c>
      <c r="K281" s="408" t="s">
        <v>18</v>
      </c>
      <c r="L281" s="152">
        <v>0</v>
      </c>
      <c r="M281" s="152"/>
      <c r="N281" s="402">
        <f t="shared" si="90"/>
        <v>0</v>
      </c>
      <c r="O281" s="402">
        <f t="shared" si="91"/>
        <v>0</v>
      </c>
      <c r="P281" s="403"/>
      <c r="Q281" s="152">
        <f t="shared" si="87"/>
        <v>0</v>
      </c>
      <c r="R281" s="152">
        <f t="shared" si="87"/>
        <v>0</v>
      </c>
      <c r="S281" s="402">
        <f t="shared" si="92"/>
        <v>0</v>
      </c>
      <c r="T281" s="404">
        <f t="shared" si="82"/>
        <v>0</v>
      </c>
      <c r="U281" s="403"/>
      <c r="W281" s="43" t="str">
        <f t="shared" si="93"/>
        <v/>
      </c>
      <c r="X281" s="43" t="str">
        <f t="shared" si="88"/>
        <v/>
      </c>
      <c r="Y281" s="43" t="str">
        <f t="shared" si="89"/>
        <v/>
      </c>
    </row>
    <row r="282" spans="1:25" hidden="1">
      <c r="A282" s="155">
        <v>173050</v>
      </c>
      <c r="B282" s="156" t="s">
        <v>281</v>
      </c>
      <c r="C282" s="348" t="s">
        <v>328</v>
      </c>
      <c r="D282" s="157"/>
      <c r="E282" s="405">
        <v>500</v>
      </c>
      <c r="F282" s="406">
        <v>3.3E-3</v>
      </c>
      <c r="G282" s="162">
        <f>(0.42*E282+20.61)*F282</f>
        <v>0.76101300000000005</v>
      </c>
      <c r="H282" s="465"/>
      <c r="I282" s="465" t="str">
        <f t="shared" si="86"/>
        <v/>
      </c>
      <c r="J282" s="407">
        <f t="shared" si="81"/>
        <v>0</v>
      </c>
      <c r="K282" s="394" t="s">
        <v>1029</v>
      </c>
      <c r="L282" s="152">
        <v>0</v>
      </c>
      <c r="M282" s="213"/>
      <c r="N282" s="402">
        <f t="shared" si="90"/>
        <v>0</v>
      </c>
      <c r="O282" s="402">
        <f t="shared" si="91"/>
        <v>0</v>
      </c>
      <c r="P282" s="403"/>
      <c r="Q282" s="212"/>
      <c r="R282" s="213"/>
      <c r="S282" s="402">
        <f t="shared" si="92"/>
        <v>0</v>
      </c>
      <c r="T282" s="404">
        <f t="shared" si="82"/>
        <v>0</v>
      </c>
      <c r="U282" s="403"/>
      <c r="V282" s="144" t="str">
        <f>IF(T281&gt;0,"xx",IF(O281&gt;0,"xy",""))</f>
        <v/>
      </c>
      <c r="W282" s="43" t="str">
        <f t="shared" si="93"/>
        <v/>
      </c>
      <c r="X282" s="43" t="str">
        <f t="shared" si="88"/>
        <v/>
      </c>
      <c r="Y282" s="43" t="str">
        <f t="shared" si="89"/>
        <v/>
      </c>
    </row>
    <row r="283" spans="1:25" hidden="1">
      <c r="A283" s="155" t="s">
        <v>183</v>
      </c>
      <c r="B283" s="156"/>
      <c r="C283" s="348" t="s">
        <v>323</v>
      </c>
      <c r="D283" s="157"/>
      <c r="E283" s="182">
        <v>20</v>
      </c>
      <c r="F283" s="406">
        <v>2.8400000000000002E-2</v>
      </c>
      <c r="G283" s="412">
        <f>IF(E283&lt;=30,(0.6*E283+1.25)*F283,((0.6*30+1.25)+0.5*(E283-30))*F283)</f>
        <v>0.37630000000000002</v>
      </c>
      <c r="H283" s="465"/>
      <c r="I283" s="465" t="str">
        <f t="shared" si="86"/>
        <v/>
      </c>
      <c r="J283" s="407">
        <f t="shared" si="81"/>
        <v>0</v>
      </c>
      <c r="K283" s="394" t="s">
        <v>1029</v>
      </c>
      <c r="L283" s="152">
        <v>0</v>
      </c>
      <c r="M283" s="213"/>
      <c r="N283" s="402">
        <f t="shared" si="90"/>
        <v>0</v>
      </c>
      <c r="O283" s="402">
        <f t="shared" si="91"/>
        <v>0</v>
      </c>
      <c r="P283" s="403"/>
      <c r="Q283" s="212"/>
      <c r="R283" s="213"/>
      <c r="S283" s="402">
        <f t="shared" si="92"/>
        <v>0</v>
      </c>
      <c r="T283" s="404">
        <f t="shared" si="82"/>
        <v>0</v>
      </c>
      <c r="U283" s="403"/>
      <c r="V283" s="144" t="str">
        <f>IF(T281&gt;0,"xx",IF(O281&gt;0,"xy",""))</f>
        <v/>
      </c>
      <c r="W283" s="43" t="str">
        <f t="shared" si="93"/>
        <v/>
      </c>
      <c r="X283" s="43" t="str">
        <f t="shared" si="88"/>
        <v/>
      </c>
      <c r="Y283" s="43" t="str">
        <f t="shared" si="89"/>
        <v/>
      </c>
    </row>
    <row r="284" spans="1:25" hidden="1">
      <c r="A284" s="155">
        <v>585100</v>
      </c>
      <c r="B284" s="156" t="s">
        <v>242</v>
      </c>
      <c r="C284" s="411" t="s">
        <v>329</v>
      </c>
      <c r="D284" s="351">
        <v>1</v>
      </c>
      <c r="E284" s="405"/>
      <c r="F284" s="406"/>
      <c r="G284" s="158">
        <f>SUM(G285:G286)</f>
        <v>1.336093</v>
      </c>
      <c r="H284" s="465">
        <f>F285*2071.1*(1+$E$9)/(1+$E$10)+4.98</f>
        <v>12.229503343848581</v>
      </c>
      <c r="I284" s="465">
        <f t="shared" si="86"/>
        <v>13.565596343848581</v>
      </c>
      <c r="J284" s="407">
        <f t="shared" si="81"/>
        <v>17.2</v>
      </c>
      <c r="K284" s="408" t="s">
        <v>18</v>
      </c>
      <c r="L284" s="152">
        <v>0</v>
      </c>
      <c r="M284" s="152"/>
      <c r="N284" s="402">
        <f t="shared" si="90"/>
        <v>0</v>
      </c>
      <c r="O284" s="402">
        <f t="shared" si="91"/>
        <v>0</v>
      </c>
      <c r="P284" s="403"/>
      <c r="Q284" s="152">
        <f t="shared" si="87"/>
        <v>0</v>
      </c>
      <c r="R284" s="152">
        <f t="shared" si="87"/>
        <v>0</v>
      </c>
      <c r="S284" s="402">
        <f t="shared" si="92"/>
        <v>0</v>
      </c>
      <c r="T284" s="404">
        <f t="shared" si="82"/>
        <v>0</v>
      </c>
      <c r="U284" s="403"/>
      <c r="W284" s="43" t="str">
        <f t="shared" si="93"/>
        <v/>
      </c>
      <c r="X284" s="43" t="str">
        <f t="shared" si="88"/>
        <v/>
      </c>
      <c r="Y284" s="43" t="str">
        <f t="shared" si="89"/>
        <v/>
      </c>
    </row>
    <row r="285" spans="1:25" hidden="1">
      <c r="A285" s="155">
        <v>173050</v>
      </c>
      <c r="B285" s="156" t="s">
        <v>281</v>
      </c>
      <c r="C285" s="348" t="s">
        <v>328</v>
      </c>
      <c r="D285" s="157"/>
      <c r="E285" s="405">
        <v>500</v>
      </c>
      <c r="F285" s="406">
        <v>3.8E-3</v>
      </c>
      <c r="G285" s="162">
        <f>(0.42*E285+20.61)*F285</f>
        <v>0.87631800000000004</v>
      </c>
      <c r="H285" s="465"/>
      <c r="I285" s="465" t="str">
        <f t="shared" si="86"/>
        <v/>
      </c>
      <c r="J285" s="407">
        <f t="shared" si="81"/>
        <v>0</v>
      </c>
      <c r="K285" s="394" t="s">
        <v>1029</v>
      </c>
      <c r="L285" s="152">
        <v>0</v>
      </c>
      <c r="M285" s="213"/>
      <c r="N285" s="402">
        <f t="shared" si="90"/>
        <v>0</v>
      </c>
      <c r="O285" s="402">
        <f t="shared" si="91"/>
        <v>0</v>
      </c>
      <c r="P285" s="403"/>
      <c r="Q285" s="212"/>
      <c r="R285" s="213"/>
      <c r="S285" s="402">
        <f t="shared" si="92"/>
        <v>0</v>
      </c>
      <c r="T285" s="404">
        <f t="shared" si="82"/>
        <v>0</v>
      </c>
      <c r="U285" s="403"/>
      <c r="V285" s="144" t="str">
        <f>IF(T284&gt;0,"xx",IF(O284&gt;0,"xy",""))</f>
        <v/>
      </c>
      <c r="W285" s="43" t="str">
        <f t="shared" si="93"/>
        <v/>
      </c>
      <c r="X285" s="43" t="str">
        <f t="shared" si="88"/>
        <v/>
      </c>
      <c r="Y285" s="43" t="str">
        <f t="shared" si="89"/>
        <v/>
      </c>
    </row>
    <row r="286" spans="1:25" hidden="1">
      <c r="A286" s="155" t="s">
        <v>183</v>
      </c>
      <c r="B286" s="156"/>
      <c r="C286" s="348" t="s">
        <v>323</v>
      </c>
      <c r="D286" s="157"/>
      <c r="E286" s="182">
        <v>20</v>
      </c>
      <c r="F286" s="406">
        <v>3.4700000000000002E-2</v>
      </c>
      <c r="G286" s="412">
        <f>IF(E286&lt;=30,(0.6*E286+1.25)*F286,((0.6*30+1.25)+0.5*(E286-30))*F286)</f>
        <v>0.45977500000000004</v>
      </c>
      <c r="H286" s="465"/>
      <c r="I286" s="465" t="str">
        <f t="shared" si="86"/>
        <v/>
      </c>
      <c r="J286" s="407">
        <f t="shared" ref="J286:J353" si="94">IF(ISBLANK(H286),0,ROUND(I286*(1+$E$10)*(1+$E$11*D286),2))</f>
        <v>0</v>
      </c>
      <c r="K286" s="394" t="s">
        <v>1029</v>
      </c>
      <c r="L286" s="152">
        <v>0</v>
      </c>
      <c r="M286" s="213"/>
      <c r="N286" s="402">
        <f t="shared" si="90"/>
        <v>0</v>
      </c>
      <c r="O286" s="402">
        <f t="shared" si="91"/>
        <v>0</v>
      </c>
      <c r="P286" s="403"/>
      <c r="Q286" s="212"/>
      <c r="R286" s="213"/>
      <c r="S286" s="402">
        <f t="shared" si="92"/>
        <v>0</v>
      </c>
      <c r="T286" s="404">
        <f t="shared" ref="T286:T353" si="95">IF(ISBLANK(Q286),0,ROUND(Q286*R286,2))</f>
        <v>0</v>
      </c>
      <c r="U286" s="403"/>
      <c r="V286" s="144" t="str">
        <f>IF(T284&gt;0,"xx",IF(O284&gt;0,"xy",""))</f>
        <v/>
      </c>
      <c r="W286" s="43" t="str">
        <f t="shared" si="93"/>
        <v/>
      </c>
      <c r="X286" s="43" t="str">
        <f t="shared" si="88"/>
        <v/>
      </c>
      <c r="Y286" s="43" t="str">
        <f t="shared" si="89"/>
        <v/>
      </c>
    </row>
    <row r="287" spans="1:25" hidden="1">
      <c r="A287" s="155">
        <v>586100</v>
      </c>
      <c r="B287" s="156" t="s">
        <v>242</v>
      </c>
      <c r="C287" s="411" t="s">
        <v>330</v>
      </c>
      <c r="D287" s="351">
        <v>1</v>
      </c>
      <c r="E287" s="405"/>
      <c r="F287" s="406"/>
      <c r="G287" s="158">
        <f>SUM(G288:G289)</f>
        <v>1.55844</v>
      </c>
      <c r="H287" s="465">
        <f>F288*2071.1*(1+$E$9)/(1+$E$10)+4.98</f>
        <v>12.611056151419557</v>
      </c>
      <c r="I287" s="465">
        <f t="shared" si="86"/>
        <v>14.169496151419558</v>
      </c>
      <c r="J287" s="407">
        <f t="shared" si="94"/>
        <v>17.97</v>
      </c>
      <c r="K287" s="408" t="s">
        <v>18</v>
      </c>
      <c r="L287" s="152">
        <v>0</v>
      </c>
      <c r="M287" s="152"/>
      <c r="N287" s="402">
        <f t="shared" si="90"/>
        <v>0</v>
      </c>
      <c r="O287" s="402">
        <f t="shared" si="91"/>
        <v>0</v>
      </c>
      <c r="P287" s="403"/>
      <c r="Q287" s="152">
        <f t="shared" si="87"/>
        <v>0</v>
      </c>
      <c r="R287" s="152">
        <f t="shared" si="87"/>
        <v>0</v>
      </c>
      <c r="S287" s="402">
        <f t="shared" si="92"/>
        <v>0</v>
      </c>
      <c r="T287" s="404">
        <f t="shared" si="95"/>
        <v>0</v>
      </c>
      <c r="U287" s="403"/>
      <c r="W287" s="43" t="str">
        <f t="shared" si="93"/>
        <v/>
      </c>
      <c r="X287" s="43" t="str">
        <f t="shared" si="88"/>
        <v/>
      </c>
      <c r="Y287" s="43" t="str">
        <f t="shared" si="89"/>
        <v/>
      </c>
    </row>
    <row r="288" spans="1:25" hidden="1">
      <c r="A288" s="155">
        <v>173050</v>
      </c>
      <c r="B288" s="156" t="s">
        <v>281</v>
      </c>
      <c r="C288" s="348" t="s">
        <v>328</v>
      </c>
      <c r="D288" s="157"/>
      <c r="E288" s="405">
        <v>500</v>
      </c>
      <c r="F288" s="406">
        <v>4.0000000000000001E-3</v>
      </c>
      <c r="G288" s="162">
        <f>(0.42*E288+20.61)*F288</f>
        <v>0.92244000000000004</v>
      </c>
      <c r="H288" s="465"/>
      <c r="I288" s="465" t="str">
        <f t="shared" si="86"/>
        <v/>
      </c>
      <c r="J288" s="407">
        <f t="shared" si="94"/>
        <v>0</v>
      </c>
      <c r="K288" s="394" t="s">
        <v>1029</v>
      </c>
      <c r="L288" s="152">
        <v>0</v>
      </c>
      <c r="M288" s="213"/>
      <c r="N288" s="402">
        <f t="shared" si="90"/>
        <v>0</v>
      </c>
      <c r="O288" s="402">
        <f t="shared" si="91"/>
        <v>0</v>
      </c>
      <c r="P288" s="403"/>
      <c r="Q288" s="212"/>
      <c r="R288" s="213"/>
      <c r="S288" s="402">
        <f t="shared" si="92"/>
        <v>0</v>
      </c>
      <c r="T288" s="404">
        <f t="shared" si="95"/>
        <v>0</v>
      </c>
      <c r="U288" s="403"/>
      <c r="V288" s="144" t="str">
        <f>IF(T287&gt;0,"xx",IF(O287&gt;0,"xy",""))</f>
        <v/>
      </c>
      <c r="W288" s="43" t="str">
        <f t="shared" si="93"/>
        <v/>
      </c>
      <c r="X288" s="43" t="str">
        <f t="shared" si="88"/>
        <v/>
      </c>
      <c r="Y288" s="43" t="str">
        <f t="shared" si="89"/>
        <v/>
      </c>
    </row>
    <row r="289" spans="1:25" hidden="1">
      <c r="A289" s="155" t="s">
        <v>183</v>
      </c>
      <c r="B289" s="156"/>
      <c r="C289" s="348" t="s">
        <v>323</v>
      </c>
      <c r="D289" s="157"/>
      <c r="E289" s="182">
        <v>20</v>
      </c>
      <c r="F289" s="406">
        <v>4.8000000000000001E-2</v>
      </c>
      <c r="G289" s="412">
        <f>IF(E289&lt;=30,(0.6*E289+1.25)*F289,((0.6*30+1.25)+0.5*(E289-30))*F289)</f>
        <v>0.63600000000000001</v>
      </c>
      <c r="H289" s="465"/>
      <c r="I289" s="465" t="str">
        <f t="shared" si="86"/>
        <v/>
      </c>
      <c r="J289" s="407">
        <f t="shared" si="94"/>
        <v>0</v>
      </c>
      <c r="K289" s="394" t="s">
        <v>1029</v>
      </c>
      <c r="L289" s="152">
        <v>0</v>
      </c>
      <c r="M289" s="213"/>
      <c r="N289" s="402">
        <f t="shared" si="90"/>
        <v>0</v>
      </c>
      <c r="O289" s="402">
        <f t="shared" si="91"/>
        <v>0</v>
      </c>
      <c r="P289" s="403"/>
      <c r="Q289" s="212"/>
      <c r="R289" s="213"/>
      <c r="S289" s="402">
        <f t="shared" si="92"/>
        <v>0</v>
      </c>
      <c r="T289" s="404">
        <f t="shared" si="95"/>
        <v>0</v>
      </c>
      <c r="U289" s="403"/>
      <c r="V289" s="144" t="str">
        <f>IF(T287&gt;0,"xx",IF(O287&gt;0,"xy",""))</f>
        <v/>
      </c>
      <c r="W289" s="43" t="str">
        <f t="shared" si="93"/>
        <v/>
      </c>
      <c r="X289" s="43" t="str">
        <f t="shared" si="88"/>
        <v/>
      </c>
      <c r="Y289" s="43" t="str">
        <f t="shared" si="89"/>
        <v/>
      </c>
    </row>
    <row r="290" spans="1:25" hidden="1">
      <c r="A290" s="155">
        <v>564000</v>
      </c>
      <c r="B290" s="156" t="s">
        <v>242</v>
      </c>
      <c r="C290" s="411" t="s">
        <v>331</v>
      </c>
      <c r="D290" s="351">
        <v>1</v>
      </c>
      <c r="E290" s="405"/>
      <c r="F290" s="406"/>
      <c r="G290" s="158">
        <f>SUM(G291:G292)</f>
        <v>57.976250000000007</v>
      </c>
      <c r="H290" s="465">
        <f>F291*2071.1*(1+$E$9)/(1+$E$10)+81.17</f>
        <v>319.64050473186114</v>
      </c>
      <c r="I290" s="465">
        <f t="shared" si="86"/>
        <v>377.61675473186114</v>
      </c>
      <c r="J290" s="407">
        <f t="shared" si="94"/>
        <v>478.82</v>
      </c>
      <c r="K290" s="408" t="s">
        <v>16</v>
      </c>
      <c r="L290" s="152">
        <v>0</v>
      </c>
      <c r="M290" s="152"/>
      <c r="N290" s="402">
        <f t="shared" si="90"/>
        <v>0</v>
      </c>
      <c r="O290" s="402">
        <f t="shared" si="91"/>
        <v>0</v>
      </c>
      <c r="P290" s="403"/>
      <c r="Q290" s="152">
        <f t="shared" si="87"/>
        <v>0</v>
      </c>
      <c r="R290" s="152">
        <f t="shared" si="87"/>
        <v>0</v>
      </c>
      <c r="S290" s="402">
        <f t="shared" si="92"/>
        <v>0</v>
      </c>
      <c r="T290" s="404">
        <f t="shared" si="95"/>
        <v>0</v>
      </c>
      <c r="U290" s="403"/>
      <c r="W290" s="43" t="str">
        <f t="shared" si="93"/>
        <v/>
      </c>
      <c r="X290" s="43" t="str">
        <f t="shared" si="88"/>
        <v/>
      </c>
      <c r="Y290" s="43" t="str">
        <f t="shared" si="89"/>
        <v/>
      </c>
    </row>
    <row r="291" spans="1:25" hidden="1">
      <c r="A291" s="155">
        <v>173050</v>
      </c>
      <c r="B291" s="156" t="s">
        <v>281</v>
      </c>
      <c r="C291" s="348" t="s">
        <v>328</v>
      </c>
      <c r="D291" s="157"/>
      <c r="E291" s="405">
        <v>500</v>
      </c>
      <c r="F291" s="406">
        <v>0.125</v>
      </c>
      <c r="G291" s="162">
        <f>(0.42*E291+20.61)*F291</f>
        <v>28.826250000000002</v>
      </c>
      <c r="H291" s="465"/>
      <c r="I291" s="465" t="str">
        <f t="shared" si="86"/>
        <v/>
      </c>
      <c r="J291" s="407">
        <f t="shared" si="94"/>
        <v>0</v>
      </c>
      <c r="K291" s="394" t="s">
        <v>1029</v>
      </c>
      <c r="L291" s="152">
        <v>0</v>
      </c>
      <c r="M291" s="213"/>
      <c r="N291" s="402">
        <f t="shared" si="90"/>
        <v>0</v>
      </c>
      <c r="O291" s="402">
        <f t="shared" si="91"/>
        <v>0</v>
      </c>
      <c r="P291" s="403"/>
      <c r="Q291" s="212"/>
      <c r="R291" s="213"/>
      <c r="S291" s="402">
        <f t="shared" si="92"/>
        <v>0</v>
      </c>
      <c r="T291" s="404">
        <f t="shared" si="95"/>
        <v>0</v>
      </c>
      <c r="U291" s="403"/>
      <c r="V291" s="144" t="str">
        <f>IF(T290&gt;0,"xx",IF(O290&gt;0,"xy",""))</f>
        <v/>
      </c>
      <c r="W291" s="43" t="str">
        <f t="shared" si="93"/>
        <v/>
      </c>
      <c r="X291" s="43" t="str">
        <f t="shared" si="88"/>
        <v/>
      </c>
      <c r="Y291" s="43" t="str">
        <f t="shared" si="89"/>
        <v/>
      </c>
    </row>
    <row r="292" spans="1:25" hidden="1">
      <c r="A292" s="155" t="s">
        <v>183</v>
      </c>
      <c r="B292" s="156"/>
      <c r="C292" s="348" t="s">
        <v>323</v>
      </c>
      <c r="D292" s="157"/>
      <c r="E292" s="182">
        <v>20</v>
      </c>
      <c r="F292" s="406">
        <v>2.2000000000000002</v>
      </c>
      <c r="G292" s="412">
        <f>IF(E292&lt;=30,(0.6*E292+1.25)*F292,((0.6*30+1.25)+0.5*(E292-30))*F292)</f>
        <v>29.150000000000002</v>
      </c>
      <c r="H292" s="465"/>
      <c r="I292" s="465" t="str">
        <f t="shared" si="86"/>
        <v/>
      </c>
      <c r="J292" s="407">
        <f t="shared" si="94"/>
        <v>0</v>
      </c>
      <c r="K292" s="394" t="s">
        <v>1029</v>
      </c>
      <c r="L292" s="152">
        <v>0</v>
      </c>
      <c r="M292" s="213"/>
      <c r="N292" s="402">
        <f t="shared" si="90"/>
        <v>0</v>
      </c>
      <c r="O292" s="402">
        <f t="shared" si="91"/>
        <v>0</v>
      </c>
      <c r="P292" s="403"/>
      <c r="Q292" s="212"/>
      <c r="R292" s="213"/>
      <c r="S292" s="402">
        <f t="shared" si="92"/>
        <v>0</v>
      </c>
      <c r="T292" s="404">
        <f t="shared" si="95"/>
        <v>0</v>
      </c>
      <c r="U292" s="403"/>
      <c r="V292" s="144" t="str">
        <f>IF(T290&gt;0,"xx",IF(O290&gt;0,"xy",""))</f>
        <v/>
      </c>
      <c r="W292" s="43" t="str">
        <f t="shared" si="93"/>
        <v/>
      </c>
      <c r="X292" s="43" t="str">
        <f t="shared" si="88"/>
        <v/>
      </c>
      <c r="Y292" s="43" t="str">
        <f t="shared" si="89"/>
        <v/>
      </c>
    </row>
    <row r="293" spans="1:25" hidden="1">
      <c r="A293" s="155">
        <v>564300</v>
      </c>
      <c r="B293" s="156" t="s">
        <v>242</v>
      </c>
      <c r="C293" s="411" t="s">
        <v>332</v>
      </c>
      <c r="D293" s="351">
        <v>1</v>
      </c>
      <c r="E293" s="405"/>
      <c r="F293" s="406"/>
      <c r="G293" s="158">
        <f>SUM(G294:G295)</f>
        <v>54.949000000000005</v>
      </c>
      <c r="H293" s="465">
        <f>F294*2349.52*(1+$E$9)/(1+$E$10)+87.46</f>
        <v>303.88266246056781</v>
      </c>
      <c r="I293" s="465">
        <f t="shared" si="86"/>
        <v>358.83166246056783</v>
      </c>
      <c r="J293" s="407">
        <f t="shared" si="94"/>
        <v>455</v>
      </c>
      <c r="K293" s="408" t="s">
        <v>16</v>
      </c>
      <c r="L293" s="152">
        <v>0</v>
      </c>
      <c r="M293" s="152"/>
      <c r="N293" s="402">
        <f t="shared" si="90"/>
        <v>0</v>
      </c>
      <c r="O293" s="402">
        <f t="shared" si="91"/>
        <v>0</v>
      </c>
      <c r="P293" s="403"/>
      <c r="Q293" s="152">
        <f t="shared" si="87"/>
        <v>0</v>
      </c>
      <c r="R293" s="152">
        <f t="shared" si="87"/>
        <v>0</v>
      </c>
      <c r="S293" s="402">
        <f t="shared" si="92"/>
        <v>0</v>
      </c>
      <c r="T293" s="404">
        <f t="shared" si="95"/>
        <v>0</v>
      </c>
      <c r="U293" s="403"/>
      <c r="W293" s="43" t="str">
        <f t="shared" si="93"/>
        <v/>
      </c>
      <c r="X293" s="43" t="str">
        <f t="shared" si="88"/>
        <v/>
      </c>
      <c r="Y293" s="43" t="str">
        <f t="shared" si="89"/>
        <v/>
      </c>
    </row>
    <row r="294" spans="1:25" hidden="1">
      <c r="A294" s="155">
        <v>170500</v>
      </c>
      <c r="B294" s="156" t="s">
        <v>281</v>
      </c>
      <c r="C294" s="348" t="s">
        <v>333</v>
      </c>
      <c r="D294" s="157"/>
      <c r="E294" s="405">
        <v>500</v>
      </c>
      <c r="F294" s="406">
        <v>0.1</v>
      </c>
      <c r="G294" s="162">
        <f>(0.47*E294+22.99)*F294</f>
        <v>25.799000000000003</v>
      </c>
      <c r="H294" s="465"/>
      <c r="I294" s="465" t="str">
        <f t="shared" si="86"/>
        <v/>
      </c>
      <c r="J294" s="407">
        <f t="shared" si="94"/>
        <v>0</v>
      </c>
      <c r="K294" s="394" t="s">
        <v>1029</v>
      </c>
      <c r="L294" s="152">
        <v>0</v>
      </c>
      <c r="M294" s="213"/>
      <c r="N294" s="402">
        <f t="shared" si="90"/>
        <v>0</v>
      </c>
      <c r="O294" s="402">
        <f t="shared" si="91"/>
        <v>0</v>
      </c>
      <c r="P294" s="403"/>
      <c r="Q294" s="212"/>
      <c r="R294" s="213"/>
      <c r="S294" s="402">
        <f t="shared" si="92"/>
        <v>0</v>
      </c>
      <c r="T294" s="404">
        <f t="shared" si="95"/>
        <v>0</v>
      </c>
      <c r="U294" s="403"/>
      <c r="V294" s="144" t="str">
        <f>IF(T293&gt;0,"xx",IF(O293&gt;0,"xy",""))</f>
        <v/>
      </c>
      <c r="W294" s="43" t="str">
        <f t="shared" si="93"/>
        <v/>
      </c>
      <c r="X294" s="43" t="str">
        <f t="shared" si="88"/>
        <v/>
      </c>
      <c r="Y294" s="43" t="str">
        <f t="shared" si="89"/>
        <v/>
      </c>
    </row>
    <row r="295" spans="1:25" hidden="1">
      <c r="A295" s="155" t="s">
        <v>183</v>
      </c>
      <c r="B295" s="156"/>
      <c r="C295" s="348" t="s">
        <v>323</v>
      </c>
      <c r="D295" s="157"/>
      <c r="E295" s="182">
        <v>20</v>
      </c>
      <c r="F295" s="406">
        <v>2.2000000000000002</v>
      </c>
      <c r="G295" s="412">
        <f>IF(E295&lt;=30,(0.6*E295+1.25)*F295,((0.6*30+1.25)+0.5*(E295-30))*F295)</f>
        <v>29.150000000000002</v>
      </c>
      <c r="H295" s="465"/>
      <c r="I295" s="465" t="str">
        <f t="shared" si="86"/>
        <v/>
      </c>
      <c r="J295" s="407">
        <f t="shared" si="94"/>
        <v>0</v>
      </c>
      <c r="K295" s="394" t="s">
        <v>1029</v>
      </c>
      <c r="L295" s="152">
        <v>0</v>
      </c>
      <c r="M295" s="213"/>
      <c r="N295" s="402">
        <f t="shared" si="90"/>
        <v>0</v>
      </c>
      <c r="O295" s="402">
        <f t="shared" si="91"/>
        <v>0</v>
      </c>
      <c r="P295" s="403"/>
      <c r="Q295" s="212"/>
      <c r="R295" s="213"/>
      <c r="S295" s="402">
        <f t="shared" si="92"/>
        <v>0</v>
      </c>
      <c r="T295" s="404">
        <f t="shared" si="95"/>
        <v>0</v>
      </c>
      <c r="U295" s="403"/>
      <c r="V295" s="144" t="str">
        <f>IF(T293&gt;0,"xx",IF(O293&gt;0,"xy",""))</f>
        <v/>
      </c>
      <c r="W295" s="43" t="str">
        <f t="shared" si="93"/>
        <v/>
      </c>
      <c r="X295" s="43" t="str">
        <f t="shared" si="88"/>
        <v/>
      </c>
      <c r="Y295" s="43" t="str">
        <f t="shared" si="89"/>
        <v/>
      </c>
    </row>
    <row r="296" spans="1:25" hidden="1">
      <c r="A296" s="155">
        <v>563100</v>
      </c>
      <c r="B296" s="156" t="s">
        <v>242</v>
      </c>
      <c r="C296" s="411" t="s">
        <v>334</v>
      </c>
      <c r="D296" s="351">
        <v>1</v>
      </c>
      <c r="E296" s="405" t="s">
        <v>17</v>
      </c>
      <c r="F296" s="406" t="s">
        <v>17</v>
      </c>
      <c r="G296" s="158">
        <f>SUM(G297:G298)</f>
        <v>0.20805499999999999</v>
      </c>
      <c r="H296" s="465">
        <f>F297*2071.1*(1+$E$9)/(1+$E$10)+0.73</f>
        <v>1.6838820189274446</v>
      </c>
      <c r="I296" s="465">
        <f t="shared" si="86"/>
        <v>1.8919370189274445</v>
      </c>
      <c r="J296" s="407">
        <f t="shared" si="94"/>
        <v>2.4</v>
      </c>
      <c r="K296" s="408" t="s">
        <v>18</v>
      </c>
      <c r="L296" s="152">
        <v>0</v>
      </c>
      <c r="M296" s="152"/>
      <c r="N296" s="402">
        <f t="shared" si="90"/>
        <v>0</v>
      </c>
      <c r="O296" s="402">
        <f t="shared" si="91"/>
        <v>0</v>
      </c>
      <c r="P296" s="403"/>
      <c r="Q296" s="152">
        <f t="shared" si="87"/>
        <v>0</v>
      </c>
      <c r="R296" s="152">
        <f t="shared" si="87"/>
        <v>0</v>
      </c>
      <c r="S296" s="402">
        <f t="shared" si="92"/>
        <v>0</v>
      </c>
      <c r="T296" s="404">
        <f t="shared" si="95"/>
        <v>0</v>
      </c>
      <c r="U296" s="403"/>
      <c r="W296" s="43" t="str">
        <f t="shared" si="93"/>
        <v/>
      </c>
      <c r="X296" s="43" t="str">
        <f t="shared" si="88"/>
        <v/>
      </c>
      <c r="Y296" s="43" t="str">
        <f t="shared" si="89"/>
        <v/>
      </c>
    </row>
    <row r="297" spans="1:25" hidden="1">
      <c r="A297" s="155">
        <v>173050</v>
      </c>
      <c r="B297" s="156" t="s">
        <v>281</v>
      </c>
      <c r="C297" s="348" t="s">
        <v>322</v>
      </c>
      <c r="D297" s="157"/>
      <c r="E297" s="405">
        <v>500</v>
      </c>
      <c r="F297" s="406">
        <v>5.0000000000000001E-4</v>
      </c>
      <c r="G297" s="162">
        <f>(0.42*E297+20.61)*F297</f>
        <v>0.115305</v>
      </c>
      <c r="H297" s="465"/>
      <c r="I297" s="465" t="str">
        <f t="shared" si="86"/>
        <v/>
      </c>
      <c r="J297" s="407">
        <f t="shared" si="94"/>
        <v>0</v>
      </c>
      <c r="K297" s="394" t="s">
        <v>1029</v>
      </c>
      <c r="L297" s="152">
        <v>0</v>
      </c>
      <c r="M297" s="213"/>
      <c r="N297" s="402">
        <f t="shared" si="90"/>
        <v>0</v>
      </c>
      <c r="O297" s="402">
        <f t="shared" si="91"/>
        <v>0</v>
      </c>
      <c r="P297" s="403"/>
      <c r="Q297" s="212"/>
      <c r="R297" s="213"/>
      <c r="S297" s="402">
        <f t="shared" si="92"/>
        <v>0</v>
      </c>
      <c r="T297" s="404">
        <f t="shared" si="95"/>
        <v>0</v>
      </c>
      <c r="U297" s="403"/>
      <c r="V297" s="144" t="str">
        <f>IF(T296&gt;0,"xx",IF(O296&gt;0,"xy",""))</f>
        <v/>
      </c>
      <c r="W297" s="43" t="str">
        <f t="shared" si="93"/>
        <v/>
      </c>
      <c r="X297" s="43" t="str">
        <f t="shared" si="88"/>
        <v/>
      </c>
      <c r="Y297" s="43" t="str">
        <f t="shared" si="89"/>
        <v/>
      </c>
    </row>
    <row r="298" spans="1:25" hidden="1">
      <c r="A298" s="155" t="s">
        <v>183</v>
      </c>
      <c r="B298" s="156"/>
      <c r="C298" s="348" t="s">
        <v>323</v>
      </c>
      <c r="D298" s="157"/>
      <c r="E298" s="182">
        <v>20</v>
      </c>
      <c r="F298" s="406">
        <v>7.0000000000000001E-3</v>
      </c>
      <c r="G298" s="412">
        <f>IF(E298&lt;=30,(0.6*E298+1.25)*F298,((0.6*30+1.25)+0.5*(E298-30))*F298)</f>
        <v>9.2749999999999999E-2</v>
      </c>
      <c r="H298" s="465"/>
      <c r="I298" s="465" t="str">
        <f t="shared" si="86"/>
        <v/>
      </c>
      <c r="J298" s="407">
        <f t="shared" si="94"/>
        <v>0</v>
      </c>
      <c r="K298" s="394" t="s">
        <v>1029</v>
      </c>
      <c r="L298" s="152">
        <v>0</v>
      </c>
      <c r="M298" s="213"/>
      <c r="N298" s="402">
        <f t="shared" si="90"/>
        <v>0</v>
      </c>
      <c r="O298" s="402">
        <f t="shared" si="91"/>
        <v>0</v>
      </c>
      <c r="P298" s="403"/>
      <c r="Q298" s="212"/>
      <c r="R298" s="213"/>
      <c r="S298" s="402">
        <f t="shared" si="92"/>
        <v>0</v>
      </c>
      <c r="T298" s="404">
        <f t="shared" si="95"/>
        <v>0</v>
      </c>
      <c r="U298" s="403"/>
      <c r="V298" s="144" t="str">
        <f>IF(T296&gt;0,"xx",IF(O296&gt;0,"xy",""))</f>
        <v/>
      </c>
      <c r="W298" s="43" t="str">
        <f t="shared" si="93"/>
        <v/>
      </c>
      <c r="X298" s="43" t="str">
        <f t="shared" si="88"/>
        <v/>
      </c>
      <c r="Y298" s="43" t="str">
        <f t="shared" si="89"/>
        <v/>
      </c>
    </row>
    <row r="299" spans="1:25" hidden="1">
      <c r="A299" s="155">
        <v>534000</v>
      </c>
      <c r="B299" s="156" t="s">
        <v>242</v>
      </c>
      <c r="C299" s="411" t="s">
        <v>335</v>
      </c>
      <c r="D299" s="351">
        <v>1</v>
      </c>
      <c r="E299" s="405" t="s">
        <v>17</v>
      </c>
      <c r="F299" s="406" t="s">
        <v>17</v>
      </c>
      <c r="G299" s="158">
        <f>SUM(G300:G302)</f>
        <v>50.370800000000003</v>
      </c>
      <c r="H299" s="465">
        <f>F300*2346.03*(1+$E$9)/(1+$E$10)+91.72</f>
        <v>264.60094889589902</v>
      </c>
      <c r="I299" s="465">
        <f t="shared" si="86"/>
        <v>314.97174889589905</v>
      </c>
      <c r="J299" s="407">
        <f t="shared" si="94"/>
        <v>399.38</v>
      </c>
      <c r="K299" s="408" t="s">
        <v>16</v>
      </c>
      <c r="L299" s="152">
        <v>0</v>
      </c>
      <c r="M299" s="152"/>
      <c r="N299" s="402">
        <f t="shared" si="90"/>
        <v>0</v>
      </c>
      <c r="O299" s="402">
        <f t="shared" si="91"/>
        <v>0</v>
      </c>
      <c r="P299" s="403"/>
      <c r="Q299" s="152">
        <f t="shared" si="87"/>
        <v>0</v>
      </c>
      <c r="R299" s="152">
        <f t="shared" si="87"/>
        <v>0</v>
      </c>
      <c r="S299" s="402">
        <f t="shared" si="92"/>
        <v>0</v>
      </c>
      <c r="T299" s="404">
        <f t="shared" si="95"/>
        <v>0</v>
      </c>
      <c r="U299" s="403"/>
      <c r="W299" s="43" t="str">
        <f t="shared" si="93"/>
        <v/>
      </c>
      <c r="X299" s="43" t="str">
        <f t="shared" si="88"/>
        <v/>
      </c>
      <c r="Y299" s="43" t="str">
        <f t="shared" si="89"/>
        <v/>
      </c>
    </row>
    <row r="300" spans="1:25" hidden="1">
      <c r="A300" s="155">
        <v>173020</v>
      </c>
      <c r="B300" s="156" t="s">
        <v>281</v>
      </c>
      <c r="C300" s="348" t="s">
        <v>336</v>
      </c>
      <c r="D300" s="157"/>
      <c r="E300" s="405">
        <v>500</v>
      </c>
      <c r="F300" s="406">
        <v>0.08</v>
      </c>
      <c r="G300" s="162">
        <f>(0.42*E300+20.61)*F300</f>
        <v>18.448800000000002</v>
      </c>
      <c r="H300" s="465"/>
      <c r="I300" s="465" t="str">
        <f t="shared" si="86"/>
        <v/>
      </c>
      <c r="J300" s="407">
        <f t="shared" si="94"/>
        <v>0</v>
      </c>
      <c r="K300" s="394" t="s">
        <v>1029</v>
      </c>
      <c r="L300" s="152">
        <v>0</v>
      </c>
      <c r="M300" s="213"/>
      <c r="N300" s="402">
        <f t="shared" si="90"/>
        <v>0</v>
      </c>
      <c r="O300" s="402">
        <f t="shared" si="91"/>
        <v>0</v>
      </c>
      <c r="P300" s="403"/>
      <c r="Q300" s="212"/>
      <c r="R300" s="213"/>
      <c r="S300" s="402">
        <f t="shared" si="92"/>
        <v>0</v>
      </c>
      <c r="T300" s="404">
        <f t="shared" si="95"/>
        <v>0</v>
      </c>
      <c r="U300" s="403"/>
      <c r="V300" s="144" t="str">
        <f>IF(T299&gt;0,"xx",IF(O299&gt;0,"xy",""))</f>
        <v/>
      </c>
      <c r="W300" s="43" t="str">
        <f t="shared" si="93"/>
        <v/>
      </c>
      <c r="X300" s="43" t="str">
        <f t="shared" si="88"/>
        <v/>
      </c>
      <c r="Y300" s="43" t="str">
        <f t="shared" si="89"/>
        <v/>
      </c>
    </row>
    <row r="301" spans="1:25" hidden="1">
      <c r="A301" s="155" t="s">
        <v>183</v>
      </c>
      <c r="B301" s="156"/>
      <c r="C301" s="348" t="s">
        <v>337</v>
      </c>
      <c r="D301" s="157"/>
      <c r="E301" s="405"/>
      <c r="F301" s="406">
        <v>2.02</v>
      </c>
      <c r="G301" s="158">
        <f>IF(E301=0,0,IF(E301&lt;=30,(0.6*E301+1.25)*F301,((0.6*30+1.25)+0.5*(E301-30))*F301))</f>
        <v>0</v>
      </c>
      <c r="H301" s="465"/>
      <c r="I301" s="465" t="str">
        <f t="shared" si="86"/>
        <v/>
      </c>
      <c r="J301" s="407">
        <f t="shared" si="94"/>
        <v>0</v>
      </c>
      <c r="K301" s="394" t="s">
        <v>1029</v>
      </c>
      <c r="L301" s="152">
        <v>0</v>
      </c>
      <c r="M301" s="213"/>
      <c r="N301" s="402">
        <f t="shared" si="90"/>
        <v>0</v>
      </c>
      <c r="O301" s="402">
        <f t="shared" si="91"/>
        <v>0</v>
      </c>
      <c r="P301" s="403"/>
      <c r="Q301" s="212"/>
      <c r="R301" s="213"/>
      <c r="S301" s="402">
        <f t="shared" si="92"/>
        <v>0</v>
      </c>
      <c r="T301" s="404">
        <f t="shared" si="95"/>
        <v>0</v>
      </c>
      <c r="U301" s="403"/>
      <c r="V301" s="144" t="str">
        <f>IF(T299&gt;0,"xx",IF(O299&gt;0,"xy",""))</f>
        <v/>
      </c>
      <c r="W301" s="43" t="str">
        <f t="shared" si="93"/>
        <v/>
      </c>
      <c r="X301" s="43" t="str">
        <f t="shared" si="88"/>
        <v/>
      </c>
      <c r="Y301" s="43" t="str">
        <f t="shared" si="89"/>
        <v/>
      </c>
    </row>
    <row r="302" spans="1:25" hidden="1">
      <c r="A302" s="155" t="s">
        <v>183</v>
      </c>
      <c r="B302" s="156"/>
      <c r="C302" s="348" t="s">
        <v>338</v>
      </c>
      <c r="D302" s="157"/>
      <c r="E302" s="405">
        <v>20</v>
      </c>
      <c r="F302" s="406">
        <v>2.2000000000000002</v>
      </c>
      <c r="G302" s="158">
        <f>IF(E302&lt;=30,(0.6*E302+2.51)*F302,((0.6*30+2.51)+0.5*(E302-30))*F302)</f>
        <v>31.922000000000001</v>
      </c>
      <c r="H302" s="465"/>
      <c r="I302" s="465" t="str">
        <f t="shared" si="86"/>
        <v/>
      </c>
      <c r="J302" s="407">
        <f t="shared" si="94"/>
        <v>0</v>
      </c>
      <c r="K302" s="394" t="s">
        <v>1029</v>
      </c>
      <c r="L302" s="152">
        <v>0</v>
      </c>
      <c r="M302" s="213"/>
      <c r="N302" s="402">
        <f t="shared" si="90"/>
        <v>0</v>
      </c>
      <c r="O302" s="402">
        <f t="shared" si="91"/>
        <v>0</v>
      </c>
      <c r="P302" s="403"/>
      <c r="Q302" s="212"/>
      <c r="R302" s="213"/>
      <c r="S302" s="402">
        <f t="shared" si="92"/>
        <v>0</v>
      </c>
      <c r="T302" s="404">
        <f t="shared" si="95"/>
        <v>0</v>
      </c>
      <c r="U302" s="403"/>
      <c r="V302" s="144" t="str">
        <f>IF(T299&gt;0,"xx",IF(O299&gt;0,"xy",""))</f>
        <v/>
      </c>
      <c r="W302" s="43" t="str">
        <f t="shared" si="93"/>
        <v/>
      </c>
      <c r="X302" s="43" t="str">
        <f t="shared" si="88"/>
        <v/>
      </c>
      <c r="Y302" s="43" t="str">
        <f t="shared" si="89"/>
        <v/>
      </c>
    </row>
    <row r="303" spans="1:25" hidden="1">
      <c r="A303" s="155">
        <v>534300</v>
      </c>
      <c r="B303" s="156" t="s">
        <v>242</v>
      </c>
      <c r="C303" s="411" t="s">
        <v>339</v>
      </c>
      <c r="D303" s="351">
        <v>1</v>
      </c>
      <c r="E303" s="405" t="s">
        <v>17</v>
      </c>
      <c r="F303" s="406" t="s">
        <v>17</v>
      </c>
      <c r="G303" s="158">
        <f>SUM(G304:G306)</f>
        <v>57.289100000000005</v>
      </c>
      <c r="H303" s="465">
        <f>F304*2346.03*(1+$E$9)/(1+$E$10)+90.71</f>
        <v>328.4213047318612</v>
      </c>
      <c r="I303" s="465">
        <f t="shared" si="86"/>
        <v>385.71040473186122</v>
      </c>
      <c r="J303" s="407">
        <f t="shared" si="94"/>
        <v>489.08</v>
      </c>
      <c r="K303" s="408" t="s">
        <v>16</v>
      </c>
      <c r="L303" s="152">
        <v>0</v>
      </c>
      <c r="M303" s="152"/>
      <c r="N303" s="402">
        <f t="shared" si="90"/>
        <v>0</v>
      </c>
      <c r="O303" s="402">
        <f t="shared" si="91"/>
        <v>0</v>
      </c>
      <c r="P303" s="403"/>
      <c r="Q303" s="152">
        <f t="shared" si="87"/>
        <v>0</v>
      </c>
      <c r="R303" s="152">
        <f t="shared" si="87"/>
        <v>0</v>
      </c>
      <c r="S303" s="402">
        <f t="shared" si="92"/>
        <v>0</v>
      </c>
      <c r="T303" s="404">
        <f t="shared" si="95"/>
        <v>0</v>
      </c>
      <c r="U303" s="403"/>
      <c r="W303" s="43" t="str">
        <f t="shared" si="93"/>
        <v/>
      </c>
      <c r="X303" s="43" t="str">
        <f t="shared" si="88"/>
        <v/>
      </c>
      <c r="Y303" s="43" t="str">
        <f t="shared" si="89"/>
        <v/>
      </c>
    </row>
    <row r="304" spans="1:25" hidden="1">
      <c r="A304" s="155">
        <v>173020</v>
      </c>
      <c r="B304" s="156" t="s">
        <v>281</v>
      </c>
      <c r="C304" s="348" t="s">
        <v>336</v>
      </c>
      <c r="D304" s="157"/>
      <c r="E304" s="405">
        <v>500</v>
      </c>
      <c r="F304" s="406">
        <v>0.11</v>
      </c>
      <c r="G304" s="162">
        <f>(0.42*E304+20.61)*F304</f>
        <v>25.367100000000001</v>
      </c>
      <c r="H304" s="465"/>
      <c r="I304" s="465" t="str">
        <f t="shared" si="86"/>
        <v/>
      </c>
      <c r="J304" s="407">
        <f t="shared" si="94"/>
        <v>0</v>
      </c>
      <c r="K304" s="394" t="s">
        <v>1029</v>
      </c>
      <c r="L304" s="152">
        <v>0</v>
      </c>
      <c r="M304" s="213"/>
      <c r="N304" s="402">
        <f t="shared" si="90"/>
        <v>0</v>
      </c>
      <c r="O304" s="402">
        <f t="shared" si="91"/>
        <v>0</v>
      </c>
      <c r="P304" s="403"/>
      <c r="Q304" s="212"/>
      <c r="R304" s="213"/>
      <c r="S304" s="402">
        <f t="shared" si="92"/>
        <v>0</v>
      </c>
      <c r="T304" s="404">
        <f t="shared" si="95"/>
        <v>0</v>
      </c>
      <c r="U304" s="403"/>
      <c r="V304" s="144" t="str">
        <f>IF(T303&gt;0,"xx",IF(O303&gt;0,"xy",""))</f>
        <v/>
      </c>
      <c r="W304" s="43" t="str">
        <f t="shared" si="93"/>
        <v/>
      </c>
      <c r="X304" s="43" t="str">
        <f t="shared" si="88"/>
        <v/>
      </c>
      <c r="Y304" s="43" t="str">
        <f t="shared" si="89"/>
        <v/>
      </c>
    </row>
    <row r="305" spans="1:25" hidden="1">
      <c r="A305" s="155" t="s">
        <v>183</v>
      </c>
      <c r="B305" s="156"/>
      <c r="C305" s="348" t="s">
        <v>337</v>
      </c>
      <c r="D305" s="157"/>
      <c r="E305" s="405"/>
      <c r="F305" s="406">
        <v>2.09</v>
      </c>
      <c r="G305" s="158">
        <f>IF(E305=0,0,IF(E305&lt;=30,(0.6*E305+1.25)*F305,((0.6*30+1.25)+0.5*(E305-30))*F305))</f>
        <v>0</v>
      </c>
      <c r="H305" s="465"/>
      <c r="I305" s="465" t="str">
        <f t="shared" si="86"/>
        <v/>
      </c>
      <c r="J305" s="407">
        <f t="shared" si="94"/>
        <v>0</v>
      </c>
      <c r="K305" s="394" t="s">
        <v>1029</v>
      </c>
      <c r="L305" s="152">
        <v>0</v>
      </c>
      <c r="M305" s="213"/>
      <c r="N305" s="402">
        <f t="shared" si="90"/>
        <v>0</v>
      </c>
      <c r="O305" s="402">
        <f t="shared" si="91"/>
        <v>0</v>
      </c>
      <c r="P305" s="403"/>
      <c r="Q305" s="212"/>
      <c r="R305" s="213"/>
      <c r="S305" s="402">
        <f t="shared" si="92"/>
        <v>0</v>
      </c>
      <c r="T305" s="404">
        <f t="shared" si="95"/>
        <v>0</v>
      </c>
      <c r="U305" s="403"/>
      <c r="V305" s="144" t="str">
        <f>IF(T303&gt;0,"xx",IF(O303&gt;0,"xy",""))</f>
        <v/>
      </c>
      <c r="W305" s="43" t="str">
        <f t="shared" si="93"/>
        <v/>
      </c>
      <c r="X305" s="43" t="str">
        <f t="shared" si="88"/>
        <v/>
      </c>
      <c r="Y305" s="43" t="str">
        <f t="shared" si="89"/>
        <v/>
      </c>
    </row>
    <row r="306" spans="1:25" hidden="1">
      <c r="A306" s="155" t="s">
        <v>183</v>
      </c>
      <c r="B306" s="156"/>
      <c r="C306" s="348" t="s">
        <v>338</v>
      </c>
      <c r="D306" s="157"/>
      <c r="E306" s="405">
        <v>20</v>
      </c>
      <c r="F306" s="406">
        <v>2.2000000000000002</v>
      </c>
      <c r="G306" s="158">
        <f>IF(E306&lt;=30,(0.6*E306+2.51)*F306,((0.6*30+2.51)+0.5*(E306-30))*F306)</f>
        <v>31.922000000000001</v>
      </c>
      <c r="H306" s="465"/>
      <c r="I306" s="465" t="str">
        <f t="shared" si="86"/>
        <v/>
      </c>
      <c r="J306" s="407">
        <f t="shared" si="94"/>
        <v>0</v>
      </c>
      <c r="K306" s="394" t="s">
        <v>1029</v>
      </c>
      <c r="L306" s="152">
        <v>0</v>
      </c>
      <c r="M306" s="213"/>
      <c r="N306" s="402">
        <f t="shared" si="90"/>
        <v>0</v>
      </c>
      <c r="O306" s="402">
        <f t="shared" si="91"/>
        <v>0</v>
      </c>
      <c r="P306" s="403"/>
      <c r="Q306" s="212"/>
      <c r="R306" s="213"/>
      <c r="S306" s="402">
        <f t="shared" si="92"/>
        <v>0</v>
      </c>
      <c r="T306" s="404">
        <f t="shared" si="95"/>
        <v>0</v>
      </c>
      <c r="U306" s="403"/>
      <c r="V306" s="144" t="str">
        <f>IF(T303&gt;0,"xx",IF(O303&gt;0,"xy",""))</f>
        <v/>
      </c>
      <c r="W306" s="43" t="str">
        <f t="shared" si="93"/>
        <v/>
      </c>
      <c r="X306" s="43" t="str">
        <f t="shared" si="88"/>
        <v/>
      </c>
      <c r="Y306" s="43" t="str">
        <f t="shared" si="89"/>
        <v/>
      </c>
    </row>
    <row r="307" spans="1:25" hidden="1">
      <c r="A307" s="155" t="s">
        <v>198</v>
      </c>
      <c r="B307" s="156" t="s">
        <v>1070</v>
      </c>
      <c r="C307" s="411" t="s">
        <v>340</v>
      </c>
      <c r="D307" s="351">
        <v>1</v>
      </c>
      <c r="E307" s="405" t="s">
        <v>17</v>
      </c>
      <c r="F307" s="406" t="s">
        <v>17</v>
      </c>
      <c r="G307" s="158">
        <f>SUM(G308:G311)</f>
        <v>91.105899999999991</v>
      </c>
      <c r="H307" s="465">
        <f>F308*2346.03*(1+$E$9)/(1+$E$10)+124.93</f>
        <v>427.47166056782339</v>
      </c>
      <c r="I307" s="465">
        <f>IF(ISBLANK(H307),"",SUM(G307:H307))</f>
        <v>518.57756056782341</v>
      </c>
      <c r="J307" s="407">
        <f t="shared" si="94"/>
        <v>657.56</v>
      </c>
      <c r="K307" s="408" t="s">
        <v>16</v>
      </c>
      <c r="L307" s="152">
        <v>0</v>
      </c>
      <c r="M307" s="152"/>
      <c r="N307" s="402">
        <f t="shared" si="90"/>
        <v>0</v>
      </c>
      <c r="O307" s="402">
        <f t="shared" si="91"/>
        <v>0</v>
      </c>
      <c r="P307" s="403"/>
      <c r="Q307" s="152">
        <f t="shared" si="87"/>
        <v>0</v>
      </c>
      <c r="R307" s="152">
        <f t="shared" si="87"/>
        <v>0</v>
      </c>
      <c r="S307" s="402">
        <f t="shared" si="92"/>
        <v>0</v>
      </c>
      <c r="T307" s="404">
        <f t="shared" si="95"/>
        <v>0</v>
      </c>
      <c r="U307" s="403"/>
      <c r="W307" s="43" t="str">
        <f t="shared" si="93"/>
        <v/>
      </c>
      <c r="X307" s="43" t="str">
        <f t="shared" si="88"/>
        <v/>
      </c>
      <c r="Y307" s="43" t="str">
        <f t="shared" si="89"/>
        <v/>
      </c>
    </row>
    <row r="308" spans="1:25" hidden="1">
      <c r="A308" s="155">
        <v>173020</v>
      </c>
      <c r="B308" s="156" t="s">
        <v>281</v>
      </c>
      <c r="C308" s="348" t="s">
        <v>336</v>
      </c>
      <c r="D308" s="157"/>
      <c r="E308" s="405">
        <v>500</v>
      </c>
      <c r="F308" s="406">
        <v>0.14000000000000001</v>
      </c>
      <c r="G308" s="162">
        <f>(0.42*E308+20.61)*F308</f>
        <v>32.285400000000003</v>
      </c>
      <c r="H308" s="465"/>
      <c r="I308" s="465" t="str">
        <f t="shared" si="86"/>
        <v/>
      </c>
      <c r="J308" s="407">
        <f t="shared" si="94"/>
        <v>0</v>
      </c>
      <c r="K308" s="394" t="s">
        <v>1029</v>
      </c>
      <c r="L308" s="152">
        <v>0</v>
      </c>
      <c r="M308" s="213"/>
      <c r="N308" s="402">
        <f t="shared" si="90"/>
        <v>0</v>
      </c>
      <c r="O308" s="402">
        <f t="shared" si="91"/>
        <v>0</v>
      </c>
      <c r="P308" s="403"/>
      <c r="Q308" s="212"/>
      <c r="R308" s="213"/>
      <c r="S308" s="402">
        <f t="shared" si="92"/>
        <v>0</v>
      </c>
      <c r="T308" s="404">
        <f t="shared" si="95"/>
        <v>0</v>
      </c>
      <c r="U308" s="403"/>
      <c r="V308" s="144" t="str">
        <f>IF(T307&gt;0,"xx",IF(O307&gt;0,"xy",""))</f>
        <v/>
      </c>
      <c r="W308" s="43" t="str">
        <f t="shared" si="93"/>
        <v/>
      </c>
      <c r="X308" s="43" t="str">
        <f t="shared" si="88"/>
        <v/>
      </c>
      <c r="Y308" s="43" t="str">
        <f t="shared" si="89"/>
        <v/>
      </c>
    </row>
    <row r="309" spans="1:25" hidden="1">
      <c r="A309" s="155" t="s">
        <v>183</v>
      </c>
      <c r="B309" s="156"/>
      <c r="C309" s="348" t="s">
        <v>341</v>
      </c>
      <c r="D309" s="157"/>
      <c r="E309" s="405">
        <v>180</v>
      </c>
      <c r="F309" s="406">
        <v>0.27</v>
      </c>
      <c r="G309" s="412">
        <f>IF(E309&lt;=30,(0.6*E309+1.25)*F309,((0.6*30+1.25)+0.5*(E309-30))*F309)</f>
        <v>25.447500000000002</v>
      </c>
      <c r="H309" s="465"/>
      <c r="I309" s="465" t="str">
        <f t="shared" si="86"/>
        <v/>
      </c>
      <c r="J309" s="407">
        <f t="shared" si="94"/>
        <v>0</v>
      </c>
      <c r="K309" s="394" t="s">
        <v>1029</v>
      </c>
      <c r="L309" s="152">
        <v>0</v>
      </c>
      <c r="M309" s="213"/>
      <c r="N309" s="402">
        <f t="shared" si="90"/>
        <v>0</v>
      </c>
      <c r="O309" s="402">
        <f t="shared" si="91"/>
        <v>0</v>
      </c>
      <c r="P309" s="403"/>
      <c r="Q309" s="212"/>
      <c r="R309" s="213"/>
      <c r="S309" s="402">
        <f t="shared" si="92"/>
        <v>0</v>
      </c>
      <c r="T309" s="404">
        <f t="shared" si="95"/>
        <v>0</v>
      </c>
      <c r="U309" s="403"/>
      <c r="V309" s="144" t="str">
        <f>IF(T307&gt;0,"xx",IF(O307&gt;0,"xy",""))</f>
        <v/>
      </c>
      <c r="W309" s="43" t="str">
        <f t="shared" si="93"/>
        <v/>
      </c>
      <c r="X309" s="43" t="str">
        <f t="shared" si="88"/>
        <v/>
      </c>
      <c r="Y309" s="43" t="str">
        <f t="shared" si="89"/>
        <v/>
      </c>
    </row>
    <row r="310" spans="1:25" hidden="1">
      <c r="A310" s="155" t="s">
        <v>183</v>
      </c>
      <c r="B310" s="156"/>
      <c r="C310" s="348" t="s">
        <v>337</v>
      </c>
      <c r="D310" s="157"/>
      <c r="E310" s="405"/>
      <c r="F310" s="406">
        <v>1.89</v>
      </c>
      <c r="G310" s="158">
        <f>IF(E310=0,0,IF(E310&lt;=30,(0.6*E310+1.25)*F310,((0.6*30+1.25)+0.5*(E310-30))*F310))</f>
        <v>0</v>
      </c>
      <c r="H310" s="465"/>
      <c r="I310" s="465" t="str">
        <f t="shared" si="86"/>
        <v/>
      </c>
      <c r="J310" s="407">
        <f t="shared" si="94"/>
        <v>0</v>
      </c>
      <c r="K310" s="394" t="s">
        <v>1029</v>
      </c>
      <c r="L310" s="152">
        <v>0</v>
      </c>
      <c r="M310" s="213"/>
      <c r="N310" s="402">
        <f t="shared" si="90"/>
        <v>0</v>
      </c>
      <c r="O310" s="402">
        <f t="shared" si="91"/>
        <v>0</v>
      </c>
      <c r="P310" s="403"/>
      <c r="Q310" s="212"/>
      <c r="R310" s="213"/>
      <c r="S310" s="402">
        <f t="shared" si="92"/>
        <v>0</v>
      </c>
      <c r="T310" s="404">
        <f t="shared" si="95"/>
        <v>0</v>
      </c>
      <c r="U310" s="403"/>
      <c r="V310" s="144" t="str">
        <f>IF(T307&gt;0,"xx",IF(O307&gt;0,"xy",""))</f>
        <v/>
      </c>
      <c r="W310" s="43" t="str">
        <f t="shared" si="93"/>
        <v/>
      </c>
      <c r="X310" s="43" t="str">
        <f t="shared" si="88"/>
        <v/>
      </c>
      <c r="Y310" s="43" t="str">
        <f t="shared" si="89"/>
        <v/>
      </c>
    </row>
    <row r="311" spans="1:25" hidden="1">
      <c r="A311" s="155" t="s">
        <v>183</v>
      </c>
      <c r="B311" s="156"/>
      <c r="C311" s="348" t="s">
        <v>338</v>
      </c>
      <c r="D311" s="157"/>
      <c r="E311" s="405">
        <v>20</v>
      </c>
      <c r="F311" s="406">
        <v>2.2999999999999998</v>
      </c>
      <c r="G311" s="158">
        <f>IF(E311&lt;=30,(0.6*E311+2.51)*F311,((0.6*30+2.51)+0.5*(E311-30))*F311)</f>
        <v>33.372999999999998</v>
      </c>
      <c r="H311" s="465"/>
      <c r="I311" s="465" t="str">
        <f t="shared" si="86"/>
        <v/>
      </c>
      <c r="J311" s="407">
        <f t="shared" si="94"/>
        <v>0</v>
      </c>
      <c r="K311" s="394" t="s">
        <v>1029</v>
      </c>
      <c r="L311" s="152">
        <v>0</v>
      </c>
      <c r="M311" s="213"/>
      <c r="N311" s="402">
        <f t="shared" si="90"/>
        <v>0</v>
      </c>
      <c r="O311" s="402">
        <f t="shared" si="91"/>
        <v>0</v>
      </c>
      <c r="P311" s="403"/>
      <c r="Q311" s="212"/>
      <c r="R311" s="213"/>
      <c r="S311" s="402">
        <f t="shared" si="92"/>
        <v>0</v>
      </c>
      <c r="T311" s="404">
        <f t="shared" si="95"/>
        <v>0</v>
      </c>
      <c r="U311" s="403"/>
      <c r="V311" s="144" t="str">
        <f>IF(T307&gt;0,"xx",IF(O307&gt;0,"xy",""))</f>
        <v/>
      </c>
      <c r="W311" s="43" t="str">
        <f t="shared" si="93"/>
        <v/>
      </c>
      <c r="X311" s="43" t="str">
        <f t="shared" si="88"/>
        <v/>
      </c>
      <c r="Y311" s="43" t="str">
        <f t="shared" si="89"/>
        <v/>
      </c>
    </row>
    <row r="312" spans="1:25" hidden="1">
      <c r="A312" s="155">
        <v>570300</v>
      </c>
      <c r="B312" s="156" t="s">
        <v>242</v>
      </c>
      <c r="C312" s="411" t="s">
        <v>342</v>
      </c>
      <c r="D312" s="351">
        <v>1</v>
      </c>
      <c r="E312" s="405" t="s">
        <v>17</v>
      </c>
      <c r="F312" s="406" t="s">
        <v>17</v>
      </c>
      <c r="G312" s="158">
        <f>SUM(G313:G316)</f>
        <v>26.359349999999999</v>
      </c>
      <c r="H312" s="465">
        <f>F313*2349.52*(1+$E$9)/(1+$E$10)+111.26</f>
        <v>197.82906498422713</v>
      </c>
      <c r="I312" s="465">
        <f t="shared" si="86"/>
        <v>224.18841498422714</v>
      </c>
      <c r="J312" s="407">
        <f t="shared" si="94"/>
        <v>284.27</v>
      </c>
      <c r="K312" s="408" t="s">
        <v>22</v>
      </c>
      <c r="L312" s="152">
        <v>0</v>
      </c>
      <c r="M312" s="152"/>
      <c r="N312" s="402">
        <f t="shared" si="90"/>
        <v>0</v>
      </c>
      <c r="O312" s="402">
        <f t="shared" si="91"/>
        <v>0</v>
      </c>
      <c r="P312" s="403"/>
      <c r="Q312" s="152">
        <f t="shared" si="87"/>
        <v>0</v>
      </c>
      <c r="R312" s="152">
        <f t="shared" si="87"/>
        <v>0</v>
      </c>
      <c r="S312" s="402">
        <f t="shared" si="92"/>
        <v>0</v>
      </c>
      <c r="T312" s="404">
        <f t="shared" si="95"/>
        <v>0</v>
      </c>
      <c r="U312" s="403"/>
      <c r="W312" s="43" t="str">
        <f t="shared" si="93"/>
        <v/>
      </c>
      <c r="X312" s="43" t="str">
        <f t="shared" si="88"/>
        <v/>
      </c>
      <c r="Y312" s="43" t="str">
        <f t="shared" si="89"/>
        <v/>
      </c>
    </row>
    <row r="313" spans="1:25" hidden="1">
      <c r="A313" s="155">
        <v>170500</v>
      </c>
      <c r="B313" s="156" t="s">
        <v>281</v>
      </c>
      <c r="C313" s="348" t="s">
        <v>333</v>
      </c>
      <c r="D313" s="157"/>
      <c r="E313" s="405">
        <v>500</v>
      </c>
      <c r="F313" s="406">
        <v>0.04</v>
      </c>
      <c r="G313" s="162">
        <f>(0.47*E313+22.99)*F313</f>
        <v>10.319600000000001</v>
      </c>
      <c r="H313" s="465"/>
      <c r="I313" s="465" t="str">
        <f t="shared" ref="I313:I324" si="96">IF(ISBLANK(H313),"",SUM(G313:H313))</f>
        <v/>
      </c>
      <c r="J313" s="407">
        <f t="shared" si="94"/>
        <v>0</v>
      </c>
      <c r="K313" s="394" t="s">
        <v>1029</v>
      </c>
      <c r="L313" s="152">
        <v>0</v>
      </c>
      <c r="M313" s="213"/>
      <c r="N313" s="402">
        <f t="shared" si="90"/>
        <v>0</v>
      </c>
      <c r="O313" s="402">
        <f t="shared" si="91"/>
        <v>0</v>
      </c>
      <c r="P313" s="403"/>
      <c r="Q313" s="212"/>
      <c r="R313" s="213"/>
      <c r="S313" s="402">
        <f t="shared" si="92"/>
        <v>0</v>
      </c>
      <c r="T313" s="404">
        <f t="shared" si="95"/>
        <v>0</v>
      </c>
      <c r="U313" s="403"/>
      <c r="V313" s="144" t="str">
        <f>IF(T312&gt;0,"xx",IF(O312&gt;0,"xy",""))</f>
        <v/>
      </c>
      <c r="W313" s="43" t="str">
        <f t="shared" si="93"/>
        <v/>
      </c>
      <c r="X313" s="43" t="str">
        <f t="shared" si="88"/>
        <v/>
      </c>
      <c r="Y313" s="43" t="str">
        <f t="shared" si="89"/>
        <v/>
      </c>
    </row>
    <row r="314" spans="1:25" hidden="1">
      <c r="A314" s="155" t="s">
        <v>183</v>
      </c>
      <c r="B314" s="156"/>
      <c r="C314" s="348" t="s">
        <v>315</v>
      </c>
      <c r="D314" s="157"/>
      <c r="E314" s="405">
        <v>180</v>
      </c>
      <c r="F314" s="406">
        <v>1.4999999999999999E-2</v>
      </c>
      <c r="G314" s="158">
        <f>IF(E314&lt;=30,(0.42*E314+3.55)*F314,((0.42*30+3.55)+0.35*(E314-30))*F314)</f>
        <v>1.0297499999999999</v>
      </c>
      <c r="H314" s="465"/>
      <c r="I314" s="465" t="str">
        <f t="shared" si="96"/>
        <v/>
      </c>
      <c r="J314" s="407">
        <f t="shared" si="94"/>
        <v>0</v>
      </c>
      <c r="K314" s="394" t="s">
        <v>1029</v>
      </c>
      <c r="L314" s="152">
        <v>0</v>
      </c>
      <c r="M314" s="213"/>
      <c r="N314" s="402">
        <f t="shared" si="90"/>
        <v>0</v>
      </c>
      <c r="O314" s="402">
        <f t="shared" si="91"/>
        <v>0</v>
      </c>
      <c r="P314" s="403"/>
      <c r="Q314" s="212"/>
      <c r="R314" s="213"/>
      <c r="S314" s="402">
        <f t="shared" si="92"/>
        <v>0</v>
      </c>
      <c r="T314" s="404">
        <f t="shared" si="95"/>
        <v>0</v>
      </c>
      <c r="U314" s="403"/>
      <c r="V314" s="144" t="str">
        <f>IF(T312&gt;0,"xx",IF(O312&gt;0,"xy",""))</f>
        <v/>
      </c>
      <c r="W314" s="43" t="str">
        <f t="shared" si="93"/>
        <v/>
      </c>
      <c r="X314" s="43" t="str">
        <f t="shared" si="88"/>
        <v/>
      </c>
      <c r="Y314" s="43" t="str">
        <f t="shared" si="89"/>
        <v/>
      </c>
    </row>
    <row r="315" spans="1:25" hidden="1">
      <c r="A315" s="155" t="s">
        <v>183</v>
      </c>
      <c r="B315" s="156"/>
      <c r="C315" s="348" t="s">
        <v>337</v>
      </c>
      <c r="D315" s="157"/>
      <c r="E315" s="405"/>
      <c r="F315" s="406">
        <v>0.94499999999999995</v>
      </c>
      <c r="G315" s="158">
        <f>IF(E315=0,0,IF(E315&lt;=30,(0.6*E315+1.25)*F315,((0.6*30+1.25)+0.5*(E315-30))*F315))</f>
        <v>0</v>
      </c>
      <c r="H315" s="465"/>
      <c r="I315" s="465" t="str">
        <f t="shared" si="96"/>
        <v/>
      </c>
      <c r="J315" s="407">
        <f t="shared" si="94"/>
        <v>0</v>
      </c>
      <c r="K315" s="394" t="s">
        <v>1029</v>
      </c>
      <c r="L315" s="152">
        <v>0</v>
      </c>
      <c r="M315" s="213"/>
      <c r="N315" s="402">
        <f t="shared" si="90"/>
        <v>0</v>
      </c>
      <c r="O315" s="402">
        <f t="shared" si="91"/>
        <v>0</v>
      </c>
      <c r="P315" s="403"/>
      <c r="Q315" s="212"/>
      <c r="R315" s="213"/>
      <c r="S315" s="402">
        <f t="shared" si="92"/>
        <v>0</v>
      </c>
      <c r="T315" s="404">
        <f t="shared" si="95"/>
        <v>0</v>
      </c>
      <c r="U315" s="403"/>
      <c r="V315" s="144" t="str">
        <f>IF(T312&gt;0,"xx",IF(O312&gt;0,"xy",""))</f>
        <v/>
      </c>
      <c r="W315" s="43" t="str">
        <f t="shared" si="93"/>
        <v/>
      </c>
      <c r="X315" s="43" t="str">
        <f t="shared" si="88"/>
        <v/>
      </c>
      <c r="Y315" s="43" t="str">
        <f t="shared" si="89"/>
        <v/>
      </c>
    </row>
    <row r="316" spans="1:25" hidden="1">
      <c r="A316" s="155" t="s">
        <v>183</v>
      </c>
      <c r="B316" s="156"/>
      <c r="C316" s="348" t="s">
        <v>338</v>
      </c>
      <c r="D316" s="157"/>
      <c r="E316" s="405">
        <v>20</v>
      </c>
      <c r="F316" s="406">
        <v>1</v>
      </c>
      <c r="G316" s="158">
        <f>IF(E316&lt;=30,(0.6*E316+3.01)*F316,((0.6*30+3.01)+0.5*(E316-30))*F316)</f>
        <v>15.01</v>
      </c>
      <c r="H316" s="465"/>
      <c r="I316" s="465" t="str">
        <f t="shared" si="96"/>
        <v/>
      </c>
      <c r="J316" s="407">
        <f t="shared" si="94"/>
        <v>0</v>
      </c>
      <c r="K316" s="394" t="s">
        <v>1029</v>
      </c>
      <c r="L316" s="152">
        <v>0</v>
      </c>
      <c r="M316" s="213"/>
      <c r="N316" s="402">
        <f t="shared" si="90"/>
        <v>0</v>
      </c>
      <c r="O316" s="402">
        <f t="shared" si="91"/>
        <v>0</v>
      </c>
      <c r="P316" s="403"/>
      <c r="Q316" s="212"/>
      <c r="R316" s="213"/>
      <c r="S316" s="402">
        <f t="shared" si="92"/>
        <v>0</v>
      </c>
      <c r="T316" s="404">
        <f t="shared" si="95"/>
        <v>0</v>
      </c>
      <c r="U316" s="403"/>
      <c r="V316" s="144" t="str">
        <f>IF(T312&gt;0,"xx",IF(O312&gt;0,"xy",""))</f>
        <v/>
      </c>
      <c r="W316" s="43" t="str">
        <f t="shared" si="93"/>
        <v/>
      </c>
      <c r="X316" s="43" t="str">
        <f t="shared" si="88"/>
        <v/>
      </c>
      <c r="Y316" s="43" t="str">
        <f t="shared" si="89"/>
        <v/>
      </c>
    </row>
    <row r="317" spans="1:25" hidden="1">
      <c r="A317" s="155">
        <v>570310</v>
      </c>
      <c r="B317" s="156" t="s">
        <v>242</v>
      </c>
      <c r="C317" s="411" t="s">
        <v>343</v>
      </c>
      <c r="D317" s="351">
        <v>1</v>
      </c>
      <c r="E317" s="405" t="s">
        <v>17</v>
      </c>
      <c r="F317" s="406" t="s">
        <v>17</v>
      </c>
      <c r="G317" s="158">
        <f>SUM(G318:G321)</f>
        <v>26.359349999999999</v>
      </c>
      <c r="H317" s="465">
        <f>F318*2349.52*(1+$E$9)/(1+$E$10)+98.76</f>
        <v>185.32906498422713</v>
      </c>
      <c r="I317" s="465">
        <f t="shared" si="96"/>
        <v>211.68841498422714</v>
      </c>
      <c r="J317" s="407">
        <f t="shared" si="94"/>
        <v>268.42</v>
      </c>
      <c r="K317" s="408" t="s">
        <v>22</v>
      </c>
      <c r="L317" s="152">
        <v>0</v>
      </c>
      <c r="M317" s="152"/>
      <c r="N317" s="402">
        <f t="shared" si="90"/>
        <v>0</v>
      </c>
      <c r="O317" s="402">
        <f t="shared" si="91"/>
        <v>0</v>
      </c>
      <c r="P317" s="403"/>
      <c r="Q317" s="152">
        <f t="shared" si="87"/>
        <v>0</v>
      </c>
      <c r="R317" s="152">
        <f t="shared" si="87"/>
        <v>0</v>
      </c>
      <c r="S317" s="402">
        <f t="shared" si="92"/>
        <v>0</v>
      </c>
      <c r="T317" s="404">
        <f t="shared" si="95"/>
        <v>0</v>
      </c>
      <c r="U317" s="403"/>
      <c r="W317" s="43" t="str">
        <f t="shared" si="93"/>
        <v/>
      </c>
      <c r="X317" s="43" t="str">
        <f t="shared" si="88"/>
        <v/>
      </c>
      <c r="Y317" s="43" t="str">
        <f t="shared" si="89"/>
        <v/>
      </c>
    </row>
    <row r="318" spans="1:25" hidden="1">
      <c r="A318" s="155">
        <v>170500</v>
      </c>
      <c r="B318" s="156" t="s">
        <v>281</v>
      </c>
      <c r="C318" s="348" t="s">
        <v>333</v>
      </c>
      <c r="D318" s="157"/>
      <c r="E318" s="405">
        <v>500</v>
      </c>
      <c r="F318" s="406">
        <v>0.04</v>
      </c>
      <c r="G318" s="162">
        <f>(0.47*E318+22.99)*F318</f>
        <v>10.319600000000001</v>
      </c>
      <c r="H318" s="465"/>
      <c r="I318" s="465" t="str">
        <f t="shared" si="96"/>
        <v/>
      </c>
      <c r="J318" s="407">
        <f t="shared" si="94"/>
        <v>0</v>
      </c>
      <c r="K318" s="394" t="s">
        <v>1029</v>
      </c>
      <c r="L318" s="152">
        <v>0</v>
      </c>
      <c r="M318" s="213"/>
      <c r="N318" s="402">
        <f t="shared" si="90"/>
        <v>0</v>
      </c>
      <c r="O318" s="402">
        <f t="shared" si="91"/>
        <v>0</v>
      </c>
      <c r="P318" s="403"/>
      <c r="Q318" s="212"/>
      <c r="R318" s="213"/>
      <c r="S318" s="402">
        <f t="shared" si="92"/>
        <v>0</v>
      </c>
      <c r="T318" s="404">
        <f t="shared" si="95"/>
        <v>0</v>
      </c>
      <c r="U318" s="403"/>
      <c r="V318" s="144" t="str">
        <f>IF(T317&gt;0,"xx",IF(O317&gt;0,"xy",""))</f>
        <v/>
      </c>
      <c r="W318" s="43" t="str">
        <f t="shared" si="93"/>
        <v/>
      </c>
      <c r="X318" s="43" t="str">
        <f t="shared" si="88"/>
        <v/>
      </c>
      <c r="Y318" s="43" t="str">
        <f t="shared" si="89"/>
        <v/>
      </c>
    </row>
    <row r="319" spans="1:25" hidden="1">
      <c r="A319" s="155" t="s">
        <v>183</v>
      </c>
      <c r="B319" s="156"/>
      <c r="C319" s="348" t="s">
        <v>315</v>
      </c>
      <c r="D319" s="157"/>
      <c r="E319" s="405">
        <v>180</v>
      </c>
      <c r="F319" s="406">
        <v>1.4999999999999999E-2</v>
      </c>
      <c r="G319" s="158">
        <f>IF(E319&lt;=30,(0.42*E319+3.55)*F319,((0.42*30+3.55)+0.35*(E319-30))*F319)</f>
        <v>1.0297499999999999</v>
      </c>
      <c r="H319" s="465"/>
      <c r="I319" s="465" t="str">
        <f t="shared" si="96"/>
        <v/>
      </c>
      <c r="J319" s="407">
        <f t="shared" si="94"/>
        <v>0</v>
      </c>
      <c r="K319" s="394" t="s">
        <v>1029</v>
      </c>
      <c r="L319" s="152">
        <v>0</v>
      </c>
      <c r="M319" s="213"/>
      <c r="N319" s="402">
        <f t="shared" si="90"/>
        <v>0</v>
      </c>
      <c r="O319" s="402">
        <f t="shared" si="91"/>
        <v>0</v>
      </c>
      <c r="P319" s="403"/>
      <c r="Q319" s="212"/>
      <c r="R319" s="213"/>
      <c r="S319" s="402">
        <f t="shared" si="92"/>
        <v>0</v>
      </c>
      <c r="T319" s="404">
        <f t="shared" si="95"/>
        <v>0</v>
      </c>
      <c r="U319" s="403"/>
      <c r="V319" s="144" t="str">
        <f>IF(T317&gt;0,"xx",IF(O317&gt;0,"xy",""))</f>
        <v/>
      </c>
      <c r="W319" s="43" t="str">
        <f t="shared" si="93"/>
        <v/>
      </c>
      <c r="X319" s="43" t="str">
        <f t="shared" si="88"/>
        <v/>
      </c>
      <c r="Y319" s="43" t="str">
        <f t="shared" si="89"/>
        <v/>
      </c>
    </row>
    <row r="320" spans="1:25" hidden="1">
      <c r="A320" s="155" t="s">
        <v>183</v>
      </c>
      <c r="B320" s="156"/>
      <c r="C320" s="348" t="s">
        <v>337</v>
      </c>
      <c r="D320" s="157"/>
      <c r="E320" s="405"/>
      <c r="F320" s="406">
        <v>0.94499999999999995</v>
      </c>
      <c r="G320" s="158">
        <f>IF(E320=0,0,IF(E320&lt;=30,(0.6*E320+1.25)*F320,((0.6*30+1.25)+0.5*(E320-30))*F320))</f>
        <v>0</v>
      </c>
      <c r="H320" s="465"/>
      <c r="I320" s="465" t="str">
        <f t="shared" si="96"/>
        <v/>
      </c>
      <c r="J320" s="407">
        <f t="shared" si="94"/>
        <v>0</v>
      </c>
      <c r="K320" s="394" t="s">
        <v>1029</v>
      </c>
      <c r="L320" s="152">
        <v>0</v>
      </c>
      <c r="M320" s="213"/>
      <c r="N320" s="402">
        <f t="shared" si="90"/>
        <v>0</v>
      </c>
      <c r="O320" s="402">
        <f t="shared" si="91"/>
        <v>0</v>
      </c>
      <c r="P320" s="403"/>
      <c r="Q320" s="212"/>
      <c r="R320" s="213"/>
      <c r="S320" s="402">
        <f t="shared" si="92"/>
        <v>0</v>
      </c>
      <c r="T320" s="404">
        <f t="shared" si="95"/>
        <v>0</v>
      </c>
      <c r="U320" s="403"/>
      <c r="V320" s="144" t="str">
        <f>IF(T317&gt;0,"xx",IF(O317&gt;0,"xy",""))</f>
        <v/>
      </c>
      <c r="W320" s="43" t="str">
        <f t="shared" si="93"/>
        <v/>
      </c>
      <c r="X320" s="43" t="str">
        <f t="shared" si="88"/>
        <v/>
      </c>
      <c r="Y320" s="43" t="str">
        <f t="shared" si="89"/>
        <v/>
      </c>
    </row>
    <row r="321" spans="1:25" hidden="1">
      <c r="A321" s="155" t="s">
        <v>183</v>
      </c>
      <c r="B321" s="156"/>
      <c r="C321" s="348" t="s">
        <v>338</v>
      </c>
      <c r="D321" s="157"/>
      <c r="E321" s="405">
        <v>20</v>
      </c>
      <c r="F321" s="406">
        <v>1</v>
      </c>
      <c r="G321" s="158">
        <f>IF(E321&lt;=30,(0.6*E321+3.01)*F321,((0.6*30+3.01)+0.5*(E321-30))*F321)</f>
        <v>15.01</v>
      </c>
      <c r="H321" s="465"/>
      <c r="I321" s="465" t="str">
        <f t="shared" si="96"/>
        <v/>
      </c>
      <c r="J321" s="407">
        <f t="shared" si="94"/>
        <v>0</v>
      </c>
      <c r="K321" s="394" t="s">
        <v>1029</v>
      </c>
      <c r="L321" s="152">
        <v>0</v>
      </c>
      <c r="M321" s="213"/>
      <c r="N321" s="402">
        <f t="shared" si="90"/>
        <v>0</v>
      </c>
      <c r="O321" s="402">
        <f t="shared" si="91"/>
        <v>0</v>
      </c>
      <c r="P321" s="403"/>
      <c r="Q321" s="212"/>
      <c r="R321" s="213"/>
      <c r="S321" s="402">
        <f t="shared" si="92"/>
        <v>0</v>
      </c>
      <c r="T321" s="404">
        <f t="shared" si="95"/>
        <v>0</v>
      </c>
      <c r="U321" s="403"/>
      <c r="V321" s="144" t="str">
        <f>IF(T317&gt;0,"xx",IF(O317&gt;0,"xy",""))</f>
        <v/>
      </c>
      <c r="W321" s="43" t="str">
        <f t="shared" si="93"/>
        <v/>
      </c>
      <c r="X321" s="43" t="str">
        <f t="shared" si="88"/>
        <v/>
      </c>
      <c r="Y321" s="43" t="str">
        <f t="shared" si="89"/>
        <v/>
      </c>
    </row>
    <row r="322" spans="1:25">
      <c r="A322" s="155">
        <v>570000</v>
      </c>
      <c r="B322" s="156" t="s">
        <v>242</v>
      </c>
      <c r="C322" s="411" t="s">
        <v>1150</v>
      </c>
      <c r="D322" s="351">
        <v>1</v>
      </c>
      <c r="E322" s="405"/>
      <c r="F322" s="406"/>
      <c r="G322" s="158">
        <f>SUM(G323:G327)</f>
        <v>70.047179999999997</v>
      </c>
      <c r="H322" s="465">
        <f>F323*2349.52*(1+$E$9)/(1+$E$10)+114.86</f>
        <v>238.22091760252366</v>
      </c>
      <c r="I322" s="465">
        <f t="shared" si="96"/>
        <v>308.26809760252365</v>
      </c>
      <c r="J322" s="407">
        <f t="shared" si="94"/>
        <v>390.88</v>
      </c>
      <c r="K322" s="408" t="s">
        <v>22</v>
      </c>
      <c r="L322" s="152">
        <f>L217*2.5*0.02+(325*2.5*0.03)</f>
        <v>391.42099999999999</v>
      </c>
      <c r="M322" s="152">
        <v>380</v>
      </c>
      <c r="N322" s="402">
        <f t="shared" si="90"/>
        <v>152998.64000000001</v>
      </c>
      <c r="O322" s="402">
        <f t="shared" si="91"/>
        <v>148739.98000000001</v>
      </c>
      <c r="P322" s="403"/>
      <c r="Q322" s="152">
        <f t="shared" si="87"/>
        <v>391.42099999999999</v>
      </c>
      <c r="R322" s="152">
        <v>380</v>
      </c>
      <c r="S322" s="402">
        <f t="shared" si="92"/>
        <v>152998.64000000001</v>
      </c>
      <c r="T322" s="404">
        <f t="shared" si="95"/>
        <v>148739.98000000001</v>
      </c>
      <c r="U322" s="403"/>
      <c r="V322" s="160" t="s">
        <v>1148</v>
      </c>
      <c r="W322" s="43" t="str">
        <f t="shared" si="93"/>
        <v>x</v>
      </c>
      <c r="X322" s="43" t="str">
        <f t="shared" si="88"/>
        <v>x</v>
      </c>
      <c r="Y322" s="43" t="str">
        <f t="shared" si="89"/>
        <v>x</v>
      </c>
    </row>
    <row r="323" spans="1:25">
      <c r="A323" s="155">
        <v>170500</v>
      </c>
      <c r="B323" s="156" t="s">
        <v>281</v>
      </c>
      <c r="C323" s="348" t="s">
        <v>333</v>
      </c>
      <c r="D323" s="157"/>
      <c r="E323" s="405">
        <v>550</v>
      </c>
      <c r="F323" s="406">
        <v>5.7000000000000002E-2</v>
      </c>
      <c r="G323" s="162">
        <f>(0.47*E323+22.99)*F323</f>
        <v>16.044930000000001</v>
      </c>
      <c r="H323" s="465"/>
      <c r="I323" s="465" t="str">
        <f t="shared" si="96"/>
        <v/>
      </c>
      <c r="J323" s="407">
        <f t="shared" si="94"/>
        <v>0</v>
      </c>
      <c r="K323" s="394" t="s">
        <v>1029</v>
      </c>
      <c r="L323" s="152">
        <v>0</v>
      </c>
      <c r="M323" s="213"/>
      <c r="N323" s="402">
        <f t="shared" si="90"/>
        <v>0</v>
      </c>
      <c r="O323" s="402">
        <f t="shared" si="91"/>
        <v>0</v>
      </c>
      <c r="P323" s="403"/>
      <c r="Q323" s="212"/>
      <c r="R323" s="213"/>
      <c r="S323" s="402">
        <f t="shared" si="92"/>
        <v>0</v>
      </c>
      <c r="T323" s="404">
        <f t="shared" si="95"/>
        <v>0</v>
      </c>
      <c r="U323" s="403"/>
      <c r="V323" s="144" t="str">
        <f>IF(T322&gt;0,"xx",IF(O322&gt;0,"xy",""))</f>
        <v>xx</v>
      </c>
      <c r="W323" s="43" t="str">
        <f t="shared" si="93"/>
        <v>x</v>
      </c>
      <c r="X323" s="43" t="str">
        <f t="shared" si="88"/>
        <v>x</v>
      </c>
      <c r="Y323" s="43" t="str">
        <f t="shared" si="89"/>
        <v/>
      </c>
    </row>
    <row r="324" spans="1:25">
      <c r="A324" s="155" t="s">
        <v>183</v>
      </c>
      <c r="B324" s="156"/>
      <c r="C324" s="348" t="s">
        <v>314</v>
      </c>
      <c r="D324" s="157"/>
      <c r="E324" s="405">
        <v>270</v>
      </c>
      <c r="F324" s="406">
        <v>0.1</v>
      </c>
      <c r="G324" s="412">
        <f>IF(E324&lt;=30,(0.6*E324+1.25)*F324,((0.6*30+1.25)+0.5*(E324-30))*F324)</f>
        <v>13.925000000000001</v>
      </c>
      <c r="H324" s="465"/>
      <c r="I324" s="465" t="str">
        <f t="shared" si="96"/>
        <v/>
      </c>
      <c r="J324" s="407">
        <f t="shared" si="94"/>
        <v>0</v>
      </c>
      <c r="K324" s="394" t="s">
        <v>1029</v>
      </c>
      <c r="L324" s="152"/>
      <c r="M324" s="213"/>
      <c r="N324" s="402">
        <f t="shared" si="90"/>
        <v>0</v>
      </c>
      <c r="O324" s="402">
        <f t="shared" si="91"/>
        <v>0</v>
      </c>
      <c r="P324" s="403"/>
      <c r="Q324" s="212"/>
      <c r="R324" s="213"/>
      <c r="S324" s="402">
        <f t="shared" si="92"/>
        <v>0</v>
      </c>
      <c r="T324" s="404">
        <f t="shared" si="95"/>
        <v>0</v>
      </c>
      <c r="U324" s="403"/>
      <c r="V324" s="144" t="str">
        <f>IF(T322&gt;0,"xx",IF(O322&gt;0,"xy",""))</f>
        <v>xx</v>
      </c>
      <c r="W324" s="43" t="str">
        <f t="shared" si="93"/>
        <v>x</v>
      </c>
      <c r="X324" s="43" t="str">
        <f t="shared" si="88"/>
        <v>x</v>
      </c>
      <c r="Y324" s="43" t="str">
        <f t="shared" si="89"/>
        <v/>
      </c>
    </row>
    <row r="325" spans="1:25">
      <c r="A325" s="155" t="s">
        <v>183</v>
      </c>
      <c r="B325" s="156"/>
      <c r="C325" s="348" t="s">
        <v>315</v>
      </c>
      <c r="D325" s="157"/>
      <c r="E325" s="405">
        <v>530</v>
      </c>
      <c r="F325" s="406">
        <v>1.4999999999999999E-2</v>
      </c>
      <c r="G325" s="158">
        <f>IF(E325&lt;=30,(0.42*E325+3.55)*F325,((0.42*30+3.55)+0.35*(E325-30))*F325)</f>
        <v>2.8672499999999999</v>
      </c>
      <c r="H325" s="465"/>
      <c r="I325" s="465" t="str">
        <f t="shared" ref="I325:I353" si="97">IF(ISBLANK(H325),"",SUM(G325:H325))</f>
        <v/>
      </c>
      <c r="J325" s="407">
        <f t="shared" si="94"/>
        <v>0</v>
      </c>
      <c r="K325" s="394" t="s">
        <v>1029</v>
      </c>
      <c r="L325" s="152"/>
      <c r="M325" s="213"/>
      <c r="N325" s="402">
        <f t="shared" si="90"/>
        <v>0</v>
      </c>
      <c r="O325" s="402">
        <f t="shared" si="91"/>
        <v>0</v>
      </c>
      <c r="P325" s="403"/>
      <c r="Q325" s="212"/>
      <c r="R325" s="213"/>
      <c r="S325" s="402">
        <f t="shared" si="92"/>
        <v>0</v>
      </c>
      <c r="T325" s="404">
        <f t="shared" si="95"/>
        <v>0</v>
      </c>
      <c r="U325" s="403"/>
      <c r="V325" s="144" t="str">
        <f>IF(T322&gt;0,"xx",IF(O322&gt;0,"xy",""))</f>
        <v>xx</v>
      </c>
      <c r="W325" s="43" t="str">
        <f t="shared" si="93"/>
        <v>x</v>
      </c>
      <c r="X325" s="43" t="str">
        <f t="shared" si="88"/>
        <v>x</v>
      </c>
      <c r="Y325" s="43" t="str">
        <f t="shared" si="89"/>
        <v/>
      </c>
    </row>
    <row r="326" spans="1:25">
      <c r="A326" s="155" t="s">
        <v>183</v>
      </c>
      <c r="B326" s="156"/>
      <c r="C326" s="348" t="s">
        <v>337</v>
      </c>
      <c r="D326" s="157"/>
      <c r="E326" s="405"/>
      <c r="F326" s="406">
        <v>0.82799999999999996</v>
      </c>
      <c r="G326" s="158">
        <f>IF(E326=0,0,IF(E326&lt;=30,(0.6*E326+1.25)*F326,((0.6*30+1.25)+0.5*(E326-30))*F326))</f>
        <v>0</v>
      </c>
      <c r="H326" s="465"/>
      <c r="I326" s="465" t="str">
        <f t="shared" si="97"/>
        <v/>
      </c>
      <c r="J326" s="407">
        <f t="shared" si="94"/>
        <v>0</v>
      </c>
      <c r="K326" s="394" t="s">
        <v>1029</v>
      </c>
      <c r="L326" s="152"/>
      <c r="M326" s="213"/>
      <c r="N326" s="402">
        <f t="shared" si="90"/>
        <v>0</v>
      </c>
      <c r="O326" s="402">
        <f t="shared" si="91"/>
        <v>0</v>
      </c>
      <c r="P326" s="403"/>
      <c r="Q326" s="212"/>
      <c r="R326" s="213"/>
      <c r="S326" s="402">
        <f t="shared" si="92"/>
        <v>0</v>
      </c>
      <c r="T326" s="404">
        <f t="shared" si="95"/>
        <v>0</v>
      </c>
      <c r="U326" s="403"/>
      <c r="V326" s="144" t="str">
        <f>IF(T322&gt;0,"xx",IF(O322&gt;0,"xy",""))</f>
        <v>xx</v>
      </c>
      <c r="W326" s="43" t="str">
        <f t="shared" si="93"/>
        <v>x</v>
      </c>
      <c r="X326" s="43" t="str">
        <f t="shared" si="88"/>
        <v>x</v>
      </c>
      <c r="Y326" s="43" t="str">
        <f t="shared" si="89"/>
        <v/>
      </c>
    </row>
    <row r="327" spans="1:25">
      <c r="A327" s="155" t="s">
        <v>183</v>
      </c>
      <c r="B327" s="156"/>
      <c r="C327" s="348" t="s">
        <v>338</v>
      </c>
      <c r="D327" s="157"/>
      <c r="E327" s="405">
        <v>62.4</v>
      </c>
      <c r="F327" s="406">
        <v>1</v>
      </c>
      <c r="G327" s="158">
        <f>IF(E327&lt;=30,(0.6*E327+3.01)*F327,((0.6*30+3.01)+0.5*(E327-30))*F327)</f>
        <v>37.209999999999994</v>
      </c>
      <c r="H327" s="465"/>
      <c r="I327" s="465" t="str">
        <f t="shared" si="97"/>
        <v/>
      </c>
      <c r="J327" s="407">
        <f t="shared" si="94"/>
        <v>0</v>
      </c>
      <c r="K327" s="394" t="s">
        <v>1029</v>
      </c>
      <c r="L327" s="152">
        <v>0</v>
      </c>
      <c r="M327" s="213"/>
      <c r="N327" s="402">
        <f t="shared" si="90"/>
        <v>0</v>
      </c>
      <c r="O327" s="402">
        <f t="shared" si="91"/>
        <v>0</v>
      </c>
      <c r="P327" s="403"/>
      <c r="Q327" s="212"/>
      <c r="R327" s="213"/>
      <c r="S327" s="402">
        <f t="shared" si="92"/>
        <v>0</v>
      </c>
      <c r="T327" s="404">
        <f t="shared" si="95"/>
        <v>0</v>
      </c>
      <c r="U327" s="403"/>
      <c r="V327" s="144" t="str">
        <f>IF(T322&gt;0,"xx",IF(O322&gt;0,"xy",""))</f>
        <v>xx</v>
      </c>
      <c r="W327" s="43" t="str">
        <f t="shared" si="93"/>
        <v>x</v>
      </c>
      <c r="X327" s="43" t="str">
        <f t="shared" si="88"/>
        <v>x</v>
      </c>
      <c r="Y327" s="43" t="str">
        <f t="shared" si="89"/>
        <v/>
      </c>
    </row>
    <row r="328" spans="1:25">
      <c r="A328" s="155">
        <v>570000</v>
      </c>
      <c r="B328" s="156" t="s">
        <v>242</v>
      </c>
      <c r="C328" s="411" t="s">
        <v>1151</v>
      </c>
      <c r="D328" s="351">
        <v>1</v>
      </c>
      <c r="E328" s="405"/>
      <c r="F328" s="406"/>
      <c r="G328" s="158">
        <f>SUM(G329:G333)</f>
        <v>70.047179999999997</v>
      </c>
      <c r="H328" s="465">
        <f>F329*2349.52*(1+$E$9)/(1+$E$10)+114.86</f>
        <v>238.22091760252366</v>
      </c>
      <c r="I328" s="465">
        <f t="shared" ref="I328:I330" si="98">IF(ISBLANK(H328),"",SUM(G328:H328))</f>
        <v>308.26809760252365</v>
      </c>
      <c r="J328" s="407">
        <f t="shared" si="94"/>
        <v>390.88</v>
      </c>
      <c r="K328" s="408" t="s">
        <v>22</v>
      </c>
      <c r="L328" s="152">
        <f>(7665.92*2.5*0.04)</f>
        <v>766.59199999999998</v>
      </c>
      <c r="M328" s="152">
        <v>380</v>
      </c>
      <c r="N328" s="402">
        <f t="shared" si="90"/>
        <v>299645.48</v>
      </c>
      <c r="O328" s="402">
        <f t="shared" si="91"/>
        <v>291304.96000000002</v>
      </c>
      <c r="P328" s="403"/>
      <c r="Q328" s="152">
        <f t="shared" ref="Q328" si="99">L328</f>
        <v>766.59199999999998</v>
      </c>
      <c r="R328" s="152">
        <v>380</v>
      </c>
      <c r="S328" s="402">
        <f t="shared" si="92"/>
        <v>299645.48</v>
      </c>
      <c r="T328" s="404">
        <f t="shared" si="95"/>
        <v>291304.96000000002</v>
      </c>
      <c r="U328" s="403"/>
      <c r="V328" s="160" t="s">
        <v>1148</v>
      </c>
      <c r="W328" s="43" t="str">
        <f t="shared" si="93"/>
        <v>x</v>
      </c>
      <c r="X328" s="43" t="str">
        <f t="shared" ref="X328:X391" si="100">IF(V328="X","x",IF(V328="y","x",IF(V328="xx","x",IF(T328&gt;0,"x",""))))</f>
        <v>x</v>
      </c>
      <c r="Y328" s="43" t="str">
        <f t="shared" si="89"/>
        <v>x</v>
      </c>
    </row>
    <row r="329" spans="1:25">
      <c r="A329" s="155">
        <v>170500</v>
      </c>
      <c r="B329" s="156" t="s">
        <v>281</v>
      </c>
      <c r="C329" s="348" t="s">
        <v>333</v>
      </c>
      <c r="D329" s="157"/>
      <c r="E329" s="405">
        <v>550</v>
      </c>
      <c r="F329" s="406">
        <v>5.7000000000000002E-2</v>
      </c>
      <c r="G329" s="162">
        <f>(0.47*E329+22.99)*F329</f>
        <v>16.044930000000001</v>
      </c>
      <c r="H329" s="465"/>
      <c r="I329" s="465" t="str">
        <f t="shared" si="98"/>
        <v/>
      </c>
      <c r="J329" s="407">
        <f t="shared" si="94"/>
        <v>0</v>
      </c>
      <c r="K329" s="394" t="s">
        <v>1029</v>
      </c>
      <c r="L329" s="152">
        <v>0</v>
      </c>
      <c r="M329" s="213"/>
      <c r="N329" s="402">
        <f t="shared" si="90"/>
        <v>0</v>
      </c>
      <c r="O329" s="402">
        <f t="shared" si="91"/>
        <v>0</v>
      </c>
      <c r="P329" s="403"/>
      <c r="Q329" s="212"/>
      <c r="R329" s="213"/>
      <c r="S329" s="402">
        <f t="shared" si="92"/>
        <v>0</v>
      </c>
      <c r="T329" s="404">
        <f t="shared" si="95"/>
        <v>0</v>
      </c>
      <c r="U329" s="403"/>
      <c r="V329" s="144" t="str">
        <f>IF(T328&gt;0,"xx",IF(O328&gt;0,"xy",""))</f>
        <v>xx</v>
      </c>
      <c r="W329" s="43" t="str">
        <f t="shared" si="93"/>
        <v>x</v>
      </c>
      <c r="X329" s="43" t="str">
        <f t="shared" si="100"/>
        <v>x</v>
      </c>
      <c r="Y329" s="43" t="str">
        <f t="shared" si="89"/>
        <v/>
      </c>
    </row>
    <row r="330" spans="1:25">
      <c r="A330" s="155" t="s">
        <v>183</v>
      </c>
      <c r="B330" s="156"/>
      <c r="C330" s="348" t="s">
        <v>314</v>
      </c>
      <c r="D330" s="157"/>
      <c r="E330" s="405">
        <v>270</v>
      </c>
      <c r="F330" s="406">
        <v>0.1</v>
      </c>
      <c r="G330" s="412">
        <f>IF(E330&lt;=30,(0.6*E330+1.25)*F330,((0.6*30+1.25)+0.5*(E330-30))*F330)</f>
        <v>13.925000000000001</v>
      </c>
      <c r="H330" s="465"/>
      <c r="I330" s="465" t="str">
        <f t="shared" si="98"/>
        <v/>
      </c>
      <c r="J330" s="407">
        <f t="shared" si="94"/>
        <v>0</v>
      </c>
      <c r="K330" s="394" t="s">
        <v>1029</v>
      </c>
      <c r="L330" s="152"/>
      <c r="M330" s="213"/>
      <c r="N330" s="402">
        <f t="shared" si="90"/>
        <v>0</v>
      </c>
      <c r="O330" s="402">
        <f t="shared" si="91"/>
        <v>0</v>
      </c>
      <c r="P330" s="403"/>
      <c r="Q330" s="212"/>
      <c r="R330" s="213"/>
      <c r="S330" s="402">
        <f t="shared" si="92"/>
        <v>0</v>
      </c>
      <c r="T330" s="404">
        <f t="shared" si="95"/>
        <v>0</v>
      </c>
      <c r="U330" s="403"/>
      <c r="V330" s="144" t="str">
        <f>IF(T328&gt;0,"xx",IF(O328&gt;0,"xy",""))</f>
        <v>xx</v>
      </c>
      <c r="W330" s="43" t="str">
        <f t="shared" si="93"/>
        <v>x</v>
      </c>
      <c r="X330" s="43" t="str">
        <f t="shared" si="100"/>
        <v>x</v>
      </c>
      <c r="Y330" s="43" t="str">
        <f t="shared" si="89"/>
        <v/>
      </c>
    </row>
    <row r="331" spans="1:25">
      <c r="A331" s="155" t="s">
        <v>183</v>
      </c>
      <c r="B331" s="156"/>
      <c r="C331" s="348" t="s">
        <v>315</v>
      </c>
      <c r="D331" s="157"/>
      <c r="E331" s="405">
        <v>530</v>
      </c>
      <c r="F331" s="406">
        <v>1.4999999999999999E-2</v>
      </c>
      <c r="G331" s="158">
        <f>IF(E331&lt;=30,(0.42*E331+3.55)*F331,((0.42*30+3.55)+0.35*(E331-30))*F331)</f>
        <v>2.8672499999999999</v>
      </c>
      <c r="H331" s="465"/>
      <c r="I331" s="465" t="str">
        <f t="shared" ref="I331:I333" si="101">IF(ISBLANK(H331),"",SUM(G331:H331))</f>
        <v/>
      </c>
      <c r="J331" s="407">
        <f t="shared" si="94"/>
        <v>0</v>
      </c>
      <c r="K331" s="394" t="s">
        <v>1029</v>
      </c>
      <c r="L331" s="152">
        <v>0</v>
      </c>
      <c r="M331" s="213"/>
      <c r="N331" s="402">
        <f t="shared" si="90"/>
        <v>0</v>
      </c>
      <c r="O331" s="402">
        <f t="shared" si="91"/>
        <v>0</v>
      </c>
      <c r="P331" s="403"/>
      <c r="Q331" s="212"/>
      <c r="R331" s="213"/>
      <c r="S331" s="402">
        <f t="shared" si="92"/>
        <v>0</v>
      </c>
      <c r="T331" s="404">
        <f t="shared" si="95"/>
        <v>0</v>
      </c>
      <c r="U331" s="403"/>
      <c r="V331" s="144" t="str">
        <f>IF(T328&gt;0,"xx",IF(O328&gt;0,"xy",""))</f>
        <v>xx</v>
      </c>
      <c r="W331" s="43" t="str">
        <f t="shared" si="93"/>
        <v>x</v>
      </c>
      <c r="X331" s="43" t="str">
        <f t="shared" si="100"/>
        <v>x</v>
      </c>
      <c r="Y331" s="43" t="str">
        <f t="shared" si="89"/>
        <v/>
      </c>
    </row>
    <row r="332" spans="1:25">
      <c r="A332" s="155" t="s">
        <v>183</v>
      </c>
      <c r="B332" s="156"/>
      <c r="C332" s="348" t="s">
        <v>337</v>
      </c>
      <c r="D332" s="157"/>
      <c r="E332" s="405"/>
      <c r="F332" s="406">
        <v>0.82799999999999996</v>
      </c>
      <c r="G332" s="158">
        <f>IF(E332=0,0,IF(E332&lt;=30,(0.6*E332+1.25)*F332,((0.6*30+1.25)+0.5*(E332-30))*F332))</f>
        <v>0</v>
      </c>
      <c r="H332" s="465"/>
      <c r="I332" s="465" t="str">
        <f t="shared" si="101"/>
        <v/>
      </c>
      <c r="J332" s="407">
        <f t="shared" si="94"/>
        <v>0</v>
      </c>
      <c r="K332" s="394" t="s">
        <v>1029</v>
      </c>
      <c r="L332" s="152">
        <v>0</v>
      </c>
      <c r="M332" s="213"/>
      <c r="N332" s="402">
        <f t="shared" si="90"/>
        <v>0</v>
      </c>
      <c r="O332" s="402">
        <f t="shared" si="91"/>
        <v>0</v>
      </c>
      <c r="P332" s="403"/>
      <c r="Q332" s="212"/>
      <c r="R332" s="213"/>
      <c r="S332" s="402">
        <f t="shared" si="92"/>
        <v>0</v>
      </c>
      <c r="T332" s="404">
        <f t="shared" si="95"/>
        <v>0</v>
      </c>
      <c r="U332" s="403"/>
      <c r="V332" s="144" t="str">
        <f>IF(T328&gt;0,"xx",IF(O328&gt;0,"xy",""))</f>
        <v>xx</v>
      </c>
      <c r="W332" s="43" t="str">
        <f t="shared" si="93"/>
        <v>x</v>
      </c>
      <c r="X332" s="43" t="str">
        <f t="shared" si="100"/>
        <v>x</v>
      </c>
      <c r="Y332" s="43" t="str">
        <f t="shared" si="89"/>
        <v/>
      </c>
    </row>
    <row r="333" spans="1:25" ht="13.5" thickBot="1">
      <c r="A333" s="155" t="s">
        <v>183</v>
      </c>
      <c r="B333" s="156"/>
      <c r="C333" s="348" t="s">
        <v>338</v>
      </c>
      <c r="D333" s="157"/>
      <c r="E333" s="405">
        <v>62.4</v>
      </c>
      <c r="F333" s="406">
        <v>1</v>
      </c>
      <c r="G333" s="158">
        <f>IF(E333&lt;=30,(0.6*E333+3.01)*F333,((0.6*30+3.01)+0.5*(E333-30))*F333)</f>
        <v>37.209999999999994</v>
      </c>
      <c r="H333" s="465"/>
      <c r="I333" s="465" t="str">
        <f t="shared" si="101"/>
        <v/>
      </c>
      <c r="J333" s="407">
        <f t="shared" si="94"/>
        <v>0</v>
      </c>
      <c r="K333" s="394" t="s">
        <v>1029</v>
      </c>
      <c r="L333" s="152">
        <v>0</v>
      </c>
      <c r="M333" s="213"/>
      <c r="N333" s="402">
        <f t="shared" si="90"/>
        <v>0</v>
      </c>
      <c r="O333" s="402">
        <f t="shared" si="91"/>
        <v>0</v>
      </c>
      <c r="P333" s="403"/>
      <c r="Q333" s="212"/>
      <c r="R333" s="213"/>
      <c r="S333" s="402">
        <f t="shared" si="92"/>
        <v>0</v>
      </c>
      <c r="T333" s="404">
        <f t="shared" si="95"/>
        <v>0</v>
      </c>
      <c r="U333" s="403"/>
      <c r="V333" s="144" t="str">
        <f>IF(T328&gt;0,"xx",IF(O328&gt;0,"xy",""))</f>
        <v>xx</v>
      </c>
      <c r="W333" s="43" t="str">
        <f t="shared" si="93"/>
        <v>x</v>
      </c>
      <c r="X333" s="43" t="str">
        <f t="shared" si="100"/>
        <v>x</v>
      </c>
      <c r="Y333" s="43" t="str">
        <f t="shared" si="89"/>
        <v/>
      </c>
    </row>
    <row r="334" spans="1:25" ht="13.5" hidden="1" thickBot="1">
      <c r="A334" s="155">
        <v>570400</v>
      </c>
      <c r="B334" s="156" t="s">
        <v>242</v>
      </c>
      <c r="C334" s="411" t="s">
        <v>344</v>
      </c>
      <c r="D334" s="351">
        <v>1</v>
      </c>
      <c r="E334" s="405"/>
      <c r="F334" s="406"/>
      <c r="G334" s="158">
        <f>SUM(G335:G339)</f>
        <v>41.850180000000002</v>
      </c>
      <c r="H334" s="465">
        <f>F335*2349.52*(1+$E$9)/(1+$E$10)+104.1</f>
        <v>227.46091760252364</v>
      </c>
      <c r="I334" s="465">
        <f t="shared" si="97"/>
        <v>269.31109760252366</v>
      </c>
      <c r="J334" s="407">
        <f t="shared" si="94"/>
        <v>341.49</v>
      </c>
      <c r="K334" s="408" t="s">
        <v>22</v>
      </c>
      <c r="L334" s="152">
        <v>0</v>
      </c>
      <c r="M334" s="152"/>
      <c r="N334" s="402">
        <f t="shared" si="90"/>
        <v>0</v>
      </c>
      <c r="O334" s="402">
        <f t="shared" si="91"/>
        <v>0</v>
      </c>
      <c r="P334" s="403"/>
      <c r="Q334" s="152">
        <f t="shared" ref="Q334:R408" si="102">L334</f>
        <v>0</v>
      </c>
      <c r="R334" s="152">
        <f t="shared" si="102"/>
        <v>0</v>
      </c>
      <c r="S334" s="402">
        <f t="shared" si="92"/>
        <v>0</v>
      </c>
      <c r="T334" s="404">
        <f t="shared" si="95"/>
        <v>0</v>
      </c>
      <c r="U334" s="403"/>
      <c r="W334" s="43" t="str">
        <f t="shared" si="93"/>
        <v/>
      </c>
      <c r="X334" s="43" t="str">
        <f t="shared" si="100"/>
        <v/>
      </c>
      <c r="Y334" s="43" t="str">
        <f t="shared" si="89"/>
        <v/>
      </c>
    </row>
    <row r="335" spans="1:25" ht="13.5" hidden="1" thickBot="1">
      <c r="A335" s="155">
        <v>170500</v>
      </c>
      <c r="B335" s="156" t="s">
        <v>281</v>
      </c>
      <c r="C335" s="348" t="s">
        <v>333</v>
      </c>
      <c r="D335" s="157"/>
      <c r="E335" s="405">
        <v>500</v>
      </c>
      <c r="F335" s="406">
        <v>5.7000000000000002E-2</v>
      </c>
      <c r="G335" s="162">
        <f>(0.47*E335+22.99)*F335</f>
        <v>14.705430000000002</v>
      </c>
      <c r="H335" s="465"/>
      <c r="I335" s="465" t="str">
        <f t="shared" si="97"/>
        <v/>
      </c>
      <c r="J335" s="407">
        <f t="shared" si="94"/>
        <v>0</v>
      </c>
      <c r="K335" s="394" t="s">
        <v>1029</v>
      </c>
      <c r="L335" s="152">
        <v>0</v>
      </c>
      <c r="M335" s="213"/>
      <c r="N335" s="402">
        <f t="shared" si="90"/>
        <v>0</v>
      </c>
      <c r="O335" s="402">
        <f t="shared" si="91"/>
        <v>0</v>
      </c>
      <c r="P335" s="403"/>
      <c r="Q335" s="212"/>
      <c r="R335" s="213"/>
      <c r="S335" s="402">
        <f t="shared" si="92"/>
        <v>0</v>
      </c>
      <c r="T335" s="404">
        <f t="shared" si="95"/>
        <v>0</v>
      </c>
      <c r="U335" s="403"/>
      <c r="V335" s="144" t="str">
        <f>IF(T334&gt;0,"xx",IF(O334&gt;0,"xy",""))</f>
        <v/>
      </c>
      <c r="W335" s="43" t="str">
        <f t="shared" si="93"/>
        <v/>
      </c>
      <c r="X335" s="43" t="str">
        <f t="shared" si="100"/>
        <v/>
      </c>
      <c r="Y335" s="43" t="str">
        <f t="shared" si="89"/>
        <v/>
      </c>
    </row>
    <row r="336" spans="1:25" ht="13.5" hidden="1" thickBot="1">
      <c r="A336" s="155" t="s">
        <v>183</v>
      </c>
      <c r="B336" s="156"/>
      <c r="C336" s="348" t="s">
        <v>314</v>
      </c>
      <c r="D336" s="157"/>
      <c r="E336" s="405">
        <v>180</v>
      </c>
      <c r="F336" s="406">
        <v>0.1</v>
      </c>
      <c r="G336" s="412">
        <f>IF(E336&lt;=30,(0.6*E336+1.25)*F336,((0.6*30+1.25)+0.5*(E336-30))*F336)</f>
        <v>9.4250000000000007</v>
      </c>
      <c r="H336" s="465"/>
      <c r="I336" s="465" t="str">
        <f t="shared" si="97"/>
        <v/>
      </c>
      <c r="J336" s="407">
        <f t="shared" si="94"/>
        <v>0</v>
      </c>
      <c r="K336" s="394" t="s">
        <v>1029</v>
      </c>
      <c r="L336" s="152">
        <v>0</v>
      </c>
      <c r="M336" s="213"/>
      <c r="N336" s="402">
        <f t="shared" si="90"/>
        <v>0</v>
      </c>
      <c r="O336" s="402">
        <f t="shared" si="91"/>
        <v>0</v>
      </c>
      <c r="P336" s="403"/>
      <c r="Q336" s="212"/>
      <c r="R336" s="213"/>
      <c r="S336" s="402">
        <f t="shared" si="92"/>
        <v>0</v>
      </c>
      <c r="T336" s="404">
        <f t="shared" si="95"/>
        <v>0</v>
      </c>
      <c r="U336" s="403"/>
      <c r="V336" s="144" t="str">
        <f>IF(T334&gt;0,"xx",IF(O334&gt;0,"xy",""))</f>
        <v/>
      </c>
      <c r="W336" s="43" t="str">
        <f t="shared" si="93"/>
        <v/>
      </c>
      <c r="X336" s="43" t="str">
        <f t="shared" si="100"/>
        <v/>
      </c>
      <c r="Y336" s="43" t="str">
        <f t="shared" si="89"/>
        <v/>
      </c>
    </row>
    <row r="337" spans="1:25" ht="13.5" hidden="1" thickBot="1">
      <c r="A337" s="155" t="s">
        <v>183</v>
      </c>
      <c r="B337" s="156"/>
      <c r="C337" s="348" t="s">
        <v>315</v>
      </c>
      <c r="D337" s="157"/>
      <c r="E337" s="405">
        <v>500</v>
      </c>
      <c r="F337" s="406">
        <v>1.4999999999999999E-2</v>
      </c>
      <c r="G337" s="158">
        <f>IF(E337&lt;=30,(0.42*E337+3.55)*F337,((0.42*30+3.55)+0.35*(E337-30))*F337)</f>
        <v>2.7097500000000001</v>
      </c>
      <c r="H337" s="465"/>
      <c r="I337" s="465" t="str">
        <f t="shared" si="97"/>
        <v/>
      </c>
      <c r="J337" s="407">
        <f t="shared" si="94"/>
        <v>0</v>
      </c>
      <c r="K337" s="394" t="s">
        <v>1029</v>
      </c>
      <c r="L337" s="152">
        <v>0</v>
      </c>
      <c r="M337" s="213"/>
      <c r="N337" s="402">
        <f t="shared" si="90"/>
        <v>0</v>
      </c>
      <c r="O337" s="402">
        <f t="shared" si="91"/>
        <v>0</v>
      </c>
      <c r="P337" s="403"/>
      <c r="Q337" s="212"/>
      <c r="R337" s="213"/>
      <c r="S337" s="402">
        <f t="shared" si="92"/>
        <v>0</v>
      </c>
      <c r="T337" s="404">
        <f t="shared" si="95"/>
        <v>0</v>
      </c>
      <c r="U337" s="403"/>
      <c r="V337" s="144" t="str">
        <f>IF(T334&gt;0,"xx",IF(O334&gt;0,"xy",""))</f>
        <v/>
      </c>
      <c r="W337" s="43" t="str">
        <f t="shared" si="93"/>
        <v/>
      </c>
      <c r="X337" s="43" t="str">
        <f t="shared" si="100"/>
        <v/>
      </c>
      <c r="Y337" s="43" t="str">
        <f t="shared" si="89"/>
        <v/>
      </c>
    </row>
    <row r="338" spans="1:25" ht="13.5" hidden="1" thickBot="1">
      <c r="A338" s="155" t="s">
        <v>183</v>
      </c>
      <c r="B338" s="156"/>
      <c r="C338" s="348" t="s">
        <v>337</v>
      </c>
      <c r="D338" s="157"/>
      <c r="E338" s="405"/>
      <c r="F338" s="406">
        <v>0.82799999999999996</v>
      </c>
      <c r="G338" s="158">
        <f>IF(E338=0,0,IF(E338&lt;=30,(0.6*E338+1.25)*F338,((0.6*30+1.25)+0.5*(E338-30))*F338))</f>
        <v>0</v>
      </c>
      <c r="H338" s="465"/>
      <c r="I338" s="465" t="str">
        <f t="shared" si="97"/>
        <v/>
      </c>
      <c r="J338" s="407">
        <f t="shared" si="94"/>
        <v>0</v>
      </c>
      <c r="K338" s="394" t="s">
        <v>1029</v>
      </c>
      <c r="L338" s="152">
        <v>0</v>
      </c>
      <c r="M338" s="213"/>
      <c r="N338" s="402">
        <f t="shared" si="90"/>
        <v>0</v>
      </c>
      <c r="O338" s="402">
        <f t="shared" si="91"/>
        <v>0</v>
      </c>
      <c r="P338" s="403"/>
      <c r="Q338" s="212"/>
      <c r="R338" s="213"/>
      <c r="S338" s="402">
        <f t="shared" si="92"/>
        <v>0</v>
      </c>
      <c r="T338" s="404">
        <f t="shared" si="95"/>
        <v>0</v>
      </c>
      <c r="U338" s="403"/>
      <c r="V338" s="144" t="str">
        <f>IF(T334&gt;0,"xx",IF(O334&gt;0,"xy",""))</f>
        <v/>
      </c>
      <c r="W338" s="43" t="str">
        <f t="shared" si="93"/>
        <v/>
      </c>
      <c r="X338" s="43" t="str">
        <f t="shared" si="100"/>
        <v/>
      </c>
      <c r="Y338" s="43" t="str">
        <f t="shared" si="89"/>
        <v/>
      </c>
    </row>
    <row r="339" spans="1:25" ht="13.5" hidden="1" thickBot="1">
      <c r="A339" s="155" t="s">
        <v>183</v>
      </c>
      <c r="B339" s="156"/>
      <c r="C339" s="348" t="s">
        <v>338</v>
      </c>
      <c r="D339" s="157"/>
      <c r="E339" s="405">
        <v>20</v>
      </c>
      <c r="F339" s="406">
        <v>1</v>
      </c>
      <c r="G339" s="158">
        <f>IF(E339&lt;=30,(0.6*E339+3.01)*F339,((0.6*30+3.01)+0.5*(E339-30))*F339)</f>
        <v>15.01</v>
      </c>
      <c r="H339" s="465"/>
      <c r="I339" s="465" t="str">
        <f t="shared" si="97"/>
        <v/>
      </c>
      <c r="J339" s="407">
        <f t="shared" si="94"/>
        <v>0</v>
      </c>
      <c r="K339" s="394" t="s">
        <v>1029</v>
      </c>
      <c r="L339" s="152">
        <v>0</v>
      </c>
      <c r="M339" s="213"/>
      <c r="N339" s="402">
        <f t="shared" si="90"/>
        <v>0</v>
      </c>
      <c r="O339" s="402">
        <f t="shared" si="91"/>
        <v>0</v>
      </c>
      <c r="P339" s="403"/>
      <c r="Q339" s="212"/>
      <c r="R339" s="213"/>
      <c r="S339" s="402">
        <f t="shared" si="92"/>
        <v>0</v>
      </c>
      <c r="T339" s="404">
        <f t="shared" si="95"/>
        <v>0</v>
      </c>
      <c r="U339" s="403"/>
      <c r="V339" s="144" t="str">
        <f>IF(T334&gt;0,"xx",IF(O334&gt;0,"xy",""))</f>
        <v/>
      </c>
      <c r="W339" s="43" t="str">
        <f t="shared" si="93"/>
        <v/>
      </c>
      <c r="X339" s="43" t="str">
        <f t="shared" si="100"/>
        <v/>
      </c>
      <c r="Y339" s="43" t="str">
        <f t="shared" si="89"/>
        <v/>
      </c>
    </row>
    <row r="340" spans="1:25" ht="13.5" hidden="1" thickBot="1">
      <c r="A340" s="155">
        <v>570360</v>
      </c>
      <c r="B340" s="156" t="s">
        <v>242</v>
      </c>
      <c r="C340" s="411" t="s">
        <v>345</v>
      </c>
      <c r="D340" s="351">
        <v>1</v>
      </c>
      <c r="E340" s="405"/>
      <c r="F340" s="406"/>
      <c r="G340" s="158">
        <f>SUM(G341:G345)</f>
        <v>43.398119999999999</v>
      </c>
      <c r="H340" s="465">
        <f>F341*3512.37*(1+$E$9)/(1+$E$10)+108.73</f>
        <v>312.55826031545735</v>
      </c>
      <c r="I340" s="465">
        <f t="shared" si="97"/>
        <v>355.95638031545735</v>
      </c>
      <c r="J340" s="407">
        <f t="shared" si="94"/>
        <v>451.35</v>
      </c>
      <c r="K340" s="408" t="s">
        <v>22</v>
      </c>
      <c r="L340" s="152">
        <v>0</v>
      </c>
      <c r="M340" s="152"/>
      <c r="N340" s="402">
        <f t="shared" si="90"/>
        <v>0</v>
      </c>
      <c r="O340" s="402">
        <f t="shared" si="91"/>
        <v>0</v>
      </c>
      <c r="P340" s="403"/>
      <c r="Q340" s="152">
        <f t="shared" si="102"/>
        <v>0</v>
      </c>
      <c r="R340" s="152">
        <f t="shared" si="102"/>
        <v>0</v>
      </c>
      <c r="S340" s="402">
        <f t="shared" si="92"/>
        <v>0</v>
      </c>
      <c r="T340" s="404">
        <f t="shared" si="95"/>
        <v>0</v>
      </c>
      <c r="U340" s="403"/>
      <c r="W340" s="43" t="str">
        <f t="shared" si="93"/>
        <v/>
      </c>
      <c r="X340" s="43" t="str">
        <f t="shared" si="100"/>
        <v/>
      </c>
      <c r="Y340" s="43" t="str">
        <f t="shared" si="89"/>
        <v/>
      </c>
    </row>
    <row r="341" spans="1:25" ht="13.5" hidden="1" thickBot="1">
      <c r="A341" s="155">
        <v>170550</v>
      </c>
      <c r="B341" s="156" t="s">
        <v>281</v>
      </c>
      <c r="C341" s="348" t="s">
        <v>333</v>
      </c>
      <c r="D341" s="157"/>
      <c r="E341" s="405">
        <v>500</v>
      </c>
      <c r="F341" s="406">
        <v>6.3E-2</v>
      </c>
      <c r="G341" s="162">
        <f>(0.47*E341+22.99)*F341</f>
        <v>16.25337</v>
      </c>
      <c r="H341" s="465"/>
      <c r="I341" s="465" t="str">
        <f t="shared" si="97"/>
        <v/>
      </c>
      <c r="J341" s="407">
        <f t="shared" si="94"/>
        <v>0</v>
      </c>
      <c r="K341" s="394" t="s">
        <v>1029</v>
      </c>
      <c r="L341" s="152">
        <v>0</v>
      </c>
      <c r="M341" s="213"/>
      <c r="N341" s="402">
        <f t="shared" si="90"/>
        <v>0</v>
      </c>
      <c r="O341" s="402">
        <f t="shared" si="91"/>
        <v>0</v>
      </c>
      <c r="P341" s="403"/>
      <c r="Q341" s="212"/>
      <c r="R341" s="213"/>
      <c r="S341" s="402">
        <f t="shared" si="92"/>
        <v>0</v>
      </c>
      <c r="T341" s="404">
        <f t="shared" si="95"/>
        <v>0</v>
      </c>
      <c r="U341" s="403"/>
      <c r="V341" s="144" t="str">
        <f>IF(T340&gt;0,"xx",IF(O340&gt;0,"xy",""))</f>
        <v/>
      </c>
      <c r="W341" s="43" t="str">
        <f t="shared" si="93"/>
        <v/>
      </c>
      <c r="X341" s="43" t="str">
        <f t="shared" si="100"/>
        <v/>
      </c>
      <c r="Y341" s="43" t="str">
        <f t="shared" si="89"/>
        <v/>
      </c>
    </row>
    <row r="342" spans="1:25" ht="13.5" hidden="1" thickBot="1">
      <c r="A342" s="155" t="s">
        <v>183</v>
      </c>
      <c r="B342" s="156"/>
      <c r="C342" s="348" t="s">
        <v>314</v>
      </c>
      <c r="D342" s="157"/>
      <c r="E342" s="405">
        <v>180</v>
      </c>
      <c r="F342" s="406">
        <v>0.1</v>
      </c>
      <c r="G342" s="412">
        <f>IF(E342&lt;=30,(0.6*E342+1.25)*F342,((0.6*30+1.25)+0.5*(E342-30))*F342)</f>
        <v>9.4250000000000007</v>
      </c>
      <c r="H342" s="465"/>
      <c r="I342" s="465" t="str">
        <f t="shared" si="97"/>
        <v/>
      </c>
      <c r="J342" s="407">
        <f t="shared" si="94"/>
        <v>0</v>
      </c>
      <c r="K342" s="394" t="s">
        <v>1029</v>
      </c>
      <c r="L342" s="152">
        <v>0</v>
      </c>
      <c r="M342" s="213"/>
      <c r="N342" s="402">
        <f t="shared" si="90"/>
        <v>0</v>
      </c>
      <c r="O342" s="402">
        <f t="shared" si="91"/>
        <v>0</v>
      </c>
      <c r="P342" s="403"/>
      <c r="Q342" s="212"/>
      <c r="R342" s="213"/>
      <c r="S342" s="402">
        <f t="shared" si="92"/>
        <v>0</v>
      </c>
      <c r="T342" s="404">
        <f t="shared" si="95"/>
        <v>0</v>
      </c>
      <c r="U342" s="403"/>
      <c r="V342" s="144" t="str">
        <f>IF(T340&gt;0,"xx",IF(O340&gt;0,"xy",""))</f>
        <v/>
      </c>
      <c r="W342" s="43" t="str">
        <f t="shared" si="93"/>
        <v/>
      </c>
      <c r="X342" s="43" t="str">
        <f t="shared" si="100"/>
        <v/>
      </c>
      <c r="Y342" s="43" t="str">
        <f t="shared" si="89"/>
        <v/>
      </c>
    </row>
    <row r="343" spans="1:25" ht="13.5" hidden="1" thickBot="1">
      <c r="A343" s="155" t="s">
        <v>183</v>
      </c>
      <c r="B343" s="156"/>
      <c r="C343" s="348" t="s">
        <v>315</v>
      </c>
      <c r="D343" s="157"/>
      <c r="E343" s="405">
        <v>500</v>
      </c>
      <c r="F343" s="406">
        <v>1.4999999999999999E-2</v>
      </c>
      <c r="G343" s="158">
        <f>IF(E343&lt;=30,(0.42*E343+3.55)*F343,((0.42*30+3.55)+0.35*(E343-30))*F343)</f>
        <v>2.7097500000000001</v>
      </c>
      <c r="H343" s="465"/>
      <c r="I343" s="465" t="str">
        <f t="shared" si="97"/>
        <v/>
      </c>
      <c r="J343" s="407">
        <f t="shared" si="94"/>
        <v>0</v>
      </c>
      <c r="K343" s="394" t="s">
        <v>1029</v>
      </c>
      <c r="L343" s="152">
        <v>0</v>
      </c>
      <c r="M343" s="213"/>
      <c r="N343" s="402">
        <f t="shared" si="90"/>
        <v>0</v>
      </c>
      <c r="O343" s="402">
        <f t="shared" si="91"/>
        <v>0</v>
      </c>
      <c r="P343" s="403"/>
      <c r="Q343" s="212"/>
      <c r="R343" s="213"/>
      <c r="S343" s="402">
        <f t="shared" si="92"/>
        <v>0</v>
      </c>
      <c r="T343" s="404">
        <f t="shared" si="95"/>
        <v>0</v>
      </c>
      <c r="U343" s="403"/>
      <c r="V343" s="144" t="str">
        <f>IF(T340&gt;0,"xx",IF(O340&gt;0,"xy",""))</f>
        <v/>
      </c>
      <c r="W343" s="43" t="str">
        <f t="shared" si="93"/>
        <v/>
      </c>
      <c r="X343" s="43" t="str">
        <f t="shared" si="100"/>
        <v/>
      </c>
      <c r="Y343" s="43" t="str">
        <f t="shared" si="89"/>
        <v/>
      </c>
    </row>
    <row r="344" spans="1:25" ht="13.5" hidden="1" thickBot="1">
      <c r="A344" s="155" t="s">
        <v>183</v>
      </c>
      <c r="B344" s="156"/>
      <c r="C344" s="348" t="s">
        <v>337</v>
      </c>
      <c r="D344" s="157"/>
      <c r="E344" s="405"/>
      <c r="F344" s="406">
        <v>0.82199999999999995</v>
      </c>
      <c r="G344" s="158">
        <f>IF(E344=0,0,IF(E344&lt;=30,(0.6*E344+1.25)*F344,((0.6*30+1.25)+0.5*(E344-30))*F344))</f>
        <v>0</v>
      </c>
      <c r="H344" s="465"/>
      <c r="I344" s="465" t="str">
        <f t="shared" si="97"/>
        <v/>
      </c>
      <c r="J344" s="407">
        <f t="shared" si="94"/>
        <v>0</v>
      </c>
      <c r="K344" s="394" t="s">
        <v>1029</v>
      </c>
      <c r="L344" s="152">
        <v>0</v>
      </c>
      <c r="M344" s="213"/>
      <c r="N344" s="402">
        <f t="shared" si="90"/>
        <v>0</v>
      </c>
      <c r="O344" s="402">
        <f t="shared" si="91"/>
        <v>0</v>
      </c>
      <c r="P344" s="403"/>
      <c r="Q344" s="212"/>
      <c r="R344" s="213"/>
      <c r="S344" s="402">
        <f t="shared" si="92"/>
        <v>0</v>
      </c>
      <c r="T344" s="404">
        <f t="shared" si="95"/>
        <v>0</v>
      </c>
      <c r="U344" s="403"/>
      <c r="V344" s="144" t="str">
        <f>IF(T340&gt;0,"xx",IF(O340&gt;0,"xy",""))</f>
        <v/>
      </c>
      <c r="W344" s="43" t="str">
        <f t="shared" si="93"/>
        <v/>
      </c>
      <c r="X344" s="43" t="str">
        <f t="shared" si="100"/>
        <v/>
      </c>
      <c r="Y344" s="43" t="str">
        <f t="shared" ref="Y344:Y407" si="103">IF(V344="X","x",IF(T344&gt;0,"x",""))</f>
        <v/>
      </c>
    </row>
    <row r="345" spans="1:25" ht="13.5" hidden="1" thickBot="1">
      <c r="A345" s="155" t="s">
        <v>183</v>
      </c>
      <c r="B345" s="156"/>
      <c r="C345" s="348" t="s">
        <v>338</v>
      </c>
      <c r="D345" s="157"/>
      <c r="E345" s="405">
        <v>20</v>
      </c>
      <c r="F345" s="406">
        <v>1</v>
      </c>
      <c r="G345" s="158">
        <f>IF(E345&lt;=30,(0.6*E345+3.01)*F345,((0.6*30+3.01)+0.5*(E345-30))*F345)</f>
        <v>15.01</v>
      </c>
      <c r="H345" s="465"/>
      <c r="I345" s="465" t="str">
        <f t="shared" si="97"/>
        <v/>
      </c>
      <c r="J345" s="407">
        <f t="shared" si="94"/>
        <v>0</v>
      </c>
      <c r="K345" s="394" t="s">
        <v>1029</v>
      </c>
      <c r="L345" s="152">
        <v>0</v>
      </c>
      <c r="M345" s="213"/>
      <c r="N345" s="402">
        <f t="shared" si="90"/>
        <v>0</v>
      </c>
      <c r="O345" s="402">
        <f t="shared" si="91"/>
        <v>0</v>
      </c>
      <c r="P345" s="403"/>
      <c r="Q345" s="212"/>
      <c r="R345" s="213"/>
      <c r="S345" s="402">
        <f t="shared" si="92"/>
        <v>0</v>
      </c>
      <c r="T345" s="404">
        <f t="shared" si="95"/>
        <v>0</v>
      </c>
      <c r="U345" s="403"/>
      <c r="V345" s="144" t="str">
        <f>IF(T340&gt;0,"xx",IF(O340&gt;0,"xy",""))</f>
        <v/>
      </c>
      <c r="W345" s="43" t="str">
        <f t="shared" si="93"/>
        <v/>
      </c>
      <c r="X345" s="43" t="str">
        <f t="shared" si="100"/>
        <v/>
      </c>
      <c r="Y345" s="43" t="str">
        <f t="shared" si="103"/>
        <v/>
      </c>
    </row>
    <row r="346" spans="1:25" ht="13.5" hidden="1" thickBot="1">
      <c r="A346" s="155">
        <v>570350</v>
      </c>
      <c r="B346" s="156" t="s">
        <v>242</v>
      </c>
      <c r="C346" s="411" t="s">
        <v>346</v>
      </c>
      <c r="D346" s="351">
        <v>1</v>
      </c>
      <c r="E346" s="405"/>
      <c r="F346" s="406"/>
      <c r="G346" s="158">
        <f>SUM(G347:G351)</f>
        <v>43.398119999999999</v>
      </c>
      <c r="H346" s="465">
        <f>F347*2660.93*(1+$E$9)/(1+$E$10)+114.5</f>
        <v>268.91788100946371</v>
      </c>
      <c r="I346" s="465">
        <f t="shared" si="97"/>
        <v>312.31600100946372</v>
      </c>
      <c r="J346" s="407">
        <f t="shared" si="94"/>
        <v>396.02</v>
      </c>
      <c r="K346" s="408" t="s">
        <v>22</v>
      </c>
      <c r="L346" s="152">
        <v>0</v>
      </c>
      <c r="M346" s="152"/>
      <c r="N346" s="402">
        <f t="shared" ref="N346:N408" si="104">IF(ISBLANK(L346),0,ROUND(J346*L346,2))</f>
        <v>0</v>
      </c>
      <c r="O346" s="402">
        <f t="shared" ref="O346:O408" si="105">IF(ISBLANK(M346),0,ROUND(L346*M346,2))</f>
        <v>0</v>
      </c>
      <c r="P346" s="403"/>
      <c r="Q346" s="152">
        <f t="shared" si="102"/>
        <v>0</v>
      </c>
      <c r="R346" s="152">
        <f t="shared" si="102"/>
        <v>0</v>
      </c>
      <c r="S346" s="402">
        <f t="shared" ref="S346:S408" si="106">IF(ISBLANK(Q346),0,ROUND(J346*Q346,2))</f>
        <v>0</v>
      </c>
      <c r="T346" s="404">
        <f t="shared" si="95"/>
        <v>0</v>
      </c>
      <c r="U346" s="403"/>
      <c r="W346" s="43" t="str">
        <f t="shared" si="93"/>
        <v/>
      </c>
      <c r="X346" s="43" t="str">
        <f t="shared" si="100"/>
        <v/>
      </c>
      <c r="Y346" s="43" t="str">
        <f t="shared" si="103"/>
        <v/>
      </c>
    </row>
    <row r="347" spans="1:25" ht="13.5" hidden="1" thickBot="1">
      <c r="A347" s="155">
        <v>170600</v>
      </c>
      <c r="B347" s="156" t="s">
        <v>281</v>
      </c>
      <c r="C347" s="348" t="s">
        <v>333</v>
      </c>
      <c r="D347" s="157"/>
      <c r="E347" s="405">
        <v>500</v>
      </c>
      <c r="F347" s="406">
        <v>6.3E-2</v>
      </c>
      <c r="G347" s="162">
        <f>(0.47*E347+22.99)*F347</f>
        <v>16.25337</v>
      </c>
      <c r="H347" s="465"/>
      <c r="I347" s="465" t="str">
        <f t="shared" si="97"/>
        <v/>
      </c>
      <c r="J347" s="407">
        <f t="shared" si="94"/>
        <v>0</v>
      </c>
      <c r="K347" s="394" t="s">
        <v>1029</v>
      </c>
      <c r="L347" s="152">
        <v>0</v>
      </c>
      <c r="M347" s="213"/>
      <c r="N347" s="402">
        <f t="shared" si="104"/>
        <v>0</v>
      </c>
      <c r="O347" s="402">
        <f t="shared" si="105"/>
        <v>0</v>
      </c>
      <c r="P347" s="403"/>
      <c r="Q347" s="212"/>
      <c r="R347" s="213"/>
      <c r="S347" s="402">
        <f t="shared" si="106"/>
        <v>0</v>
      </c>
      <c r="T347" s="404">
        <f t="shared" si="95"/>
        <v>0</v>
      </c>
      <c r="U347" s="403"/>
      <c r="V347" s="144" t="str">
        <f>IF(T346&gt;0,"xx",IF(O346&gt;0,"xy",""))</f>
        <v/>
      </c>
      <c r="W347" s="43" t="str">
        <f t="shared" si="93"/>
        <v/>
      </c>
      <c r="X347" s="43" t="str">
        <f t="shared" si="100"/>
        <v/>
      </c>
      <c r="Y347" s="43" t="str">
        <f t="shared" si="103"/>
        <v/>
      </c>
    </row>
    <row r="348" spans="1:25" ht="13.5" hidden="1" thickBot="1">
      <c r="A348" s="155" t="s">
        <v>183</v>
      </c>
      <c r="B348" s="156"/>
      <c r="C348" s="348" t="s">
        <v>314</v>
      </c>
      <c r="D348" s="157"/>
      <c r="E348" s="405">
        <v>180</v>
      </c>
      <c r="F348" s="406">
        <v>0.1</v>
      </c>
      <c r="G348" s="412">
        <f>IF(E348&lt;=30,(0.6*E348+1.25)*F348,((0.6*30+1.25)+0.5*(E348-30))*F348)</f>
        <v>9.4250000000000007</v>
      </c>
      <c r="H348" s="465"/>
      <c r="I348" s="465" t="str">
        <f t="shared" si="97"/>
        <v/>
      </c>
      <c r="J348" s="407">
        <f t="shared" si="94"/>
        <v>0</v>
      </c>
      <c r="K348" s="394" t="s">
        <v>1029</v>
      </c>
      <c r="L348" s="152">
        <v>0</v>
      </c>
      <c r="M348" s="213"/>
      <c r="N348" s="402">
        <f t="shared" si="104"/>
        <v>0</v>
      </c>
      <c r="O348" s="402">
        <f t="shared" si="105"/>
        <v>0</v>
      </c>
      <c r="P348" s="403"/>
      <c r="Q348" s="212"/>
      <c r="R348" s="213"/>
      <c r="S348" s="402">
        <f t="shared" si="106"/>
        <v>0</v>
      </c>
      <c r="T348" s="404">
        <f t="shared" si="95"/>
        <v>0</v>
      </c>
      <c r="U348" s="403"/>
      <c r="V348" s="144" t="str">
        <f>IF(T346&gt;0,"xx",IF(O346&gt;0,"xy",""))</f>
        <v/>
      </c>
      <c r="W348" s="43" t="str">
        <f t="shared" si="93"/>
        <v/>
      </c>
      <c r="X348" s="43" t="str">
        <f t="shared" si="100"/>
        <v/>
      </c>
      <c r="Y348" s="43" t="str">
        <f t="shared" si="103"/>
        <v/>
      </c>
    </row>
    <row r="349" spans="1:25" ht="13.5" hidden="1" thickBot="1">
      <c r="A349" s="155" t="s">
        <v>183</v>
      </c>
      <c r="B349" s="156"/>
      <c r="C349" s="348" t="s">
        <v>315</v>
      </c>
      <c r="D349" s="157"/>
      <c r="E349" s="405">
        <v>500</v>
      </c>
      <c r="F349" s="406">
        <v>1.4999999999999999E-2</v>
      </c>
      <c r="G349" s="158">
        <f>IF(E349&lt;=30,(0.42*E349+3.55)*F349,((0.42*30+3.55)+0.35*(E349-30))*F349)</f>
        <v>2.7097500000000001</v>
      </c>
      <c r="H349" s="465"/>
      <c r="I349" s="465" t="str">
        <f t="shared" si="97"/>
        <v/>
      </c>
      <c r="J349" s="407">
        <f t="shared" si="94"/>
        <v>0</v>
      </c>
      <c r="K349" s="394" t="s">
        <v>1029</v>
      </c>
      <c r="L349" s="152">
        <v>0</v>
      </c>
      <c r="M349" s="213"/>
      <c r="N349" s="402">
        <f t="shared" si="104"/>
        <v>0</v>
      </c>
      <c r="O349" s="402">
        <f t="shared" si="105"/>
        <v>0</v>
      </c>
      <c r="P349" s="403"/>
      <c r="Q349" s="212"/>
      <c r="R349" s="213"/>
      <c r="S349" s="402">
        <f t="shared" si="106"/>
        <v>0</v>
      </c>
      <c r="T349" s="404">
        <f t="shared" si="95"/>
        <v>0</v>
      </c>
      <c r="U349" s="403"/>
      <c r="V349" s="144" t="str">
        <f>IF(T346&gt;0,"xx",IF(O346&gt;0,"xy",""))</f>
        <v/>
      </c>
      <c r="W349" s="43" t="str">
        <f t="shared" si="93"/>
        <v/>
      </c>
      <c r="X349" s="43" t="str">
        <f t="shared" si="100"/>
        <v/>
      </c>
      <c r="Y349" s="43" t="str">
        <f t="shared" si="103"/>
        <v/>
      </c>
    </row>
    <row r="350" spans="1:25" ht="13.5" hidden="1" thickBot="1">
      <c r="A350" s="155" t="s">
        <v>183</v>
      </c>
      <c r="B350" s="156"/>
      <c r="C350" s="348" t="s">
        <v>337</v>
      </c>
      <c r="D350" s="157"/>
      <c r="E350" s="405"/>
      <c r="F350" s="406">
        <v>0.82199999999999995</v>
      </c>
      <c r="G350" s="158">
        <f>IF(E350=0,0,IF(E350&lt;=30,(0.6*E350+1.25)*F350,((0.6*30+1.25)+0.5*(E350-30))*F350))</f>
        <v>0</v>
      </c>
      <c r="H350" s="465"/>
      <c r="I350" s="465" t="str">
        <f t="shared" si="97"/>
        <v/>
      </c>
      <c r="J350" s="407">
        <f t="shared" si="94"/>
        <v>0</v>
      </c>
      <c r="K350" s="394" t="s">
        <v>1029</v>
      </c>
      <c r="L350" s="152">
        <v>0</v>
      </c>
      <c r="M350" s="213"/>
      <c r="N350" s="402">
        <f t="shared" si="104"/>
        <v>0</v>
      </c>
      <c r="O350" s="402">
        <f t="shared" si="105"/>
        <v>0</v>
      </c>
      <c r="P350" s="403"/>
      <c r="Q350" s="212"/>
      <c r="R350" s="213"/>
      <c r="S350" s="402">
        <f t="shared" si="106"/>
        <v>0</v>
      </c>
      <c r="T350" s="404">
        <f t="shared" si="95"/>
        <v>0</v>
      </c>
      <c r="U350" s="403"/>
      <c r="V350" s="144" t="str">
        <f>IF(T346&gt;0,"xx",IF(O346&gt;0,"xy",""))</f>
        <v/>
      </c>
      <c r="W350" s="43" t="str">
        <f t="shared" ref="W350:W413" si="107">IF(V350="X","x",IF(V350="xx","x",IF(V350="xy","x",IF(V350="y","x",IF(OR(O350&gt;0,T350&gt;0),"x","")))))</f>
        <v/>
      </c>
      <c r="X350" s="43" t="str">
        <f t="shared" si="100"/>
        <v/>
      </c>
      <c r="Y350" s="43" t="str">
        <f t="shared" si="103"/>
        <v/>
      </c>
    </row>
    <row r="351" spans="1:25" ht="13.5" hidden="1" thickBot="1">
      <c r="A351" s="155" t="s">
        <v>183</v>
      </c>
      <c r="B351" s="156"/>
      <c r="C351" s="348" t="s">
        <v>338</v>
      </c>
      <c r="D351" s="157"/>
      <c r="E351" s="405">
        <v>20</v>
      </c>
      <c r="F351" s="406">
        <v>1</v>
      </c>
      <c r="G351" s="158">
        <f>IF(E351&lt;=30,(0.6*E351+3.01)*F351,((0.6*30+3.01)+0.5*(E351-30))*F351)</f>
        <v>15.01</v>
      </c>
      <c r="H351" s="465"/>
      <c r="I351" s="465" t="str">
        <f t="shared" si="97"/>
        <v/>
      </c>
      <c r="J351" s="407">
        <f t="shared" si="94"/>
        <v>0</v>
      </c>
      <c r="K351" s="394" t="s">
        <v>1029</v>
      </c>
      <c r="L351" s="152">
        <v>0</v>
      </c>
      <c r="M351" s="213"/>
      <c r="N351" s="402">
        <f t="shared" si="104"/>
        <v>0</v>
      </c>
      <c r="O351" s="402">
        <f t="shared" si="105"/>
        <v>0</v>
      </c>
      <c r="P351" s="403"/>
      <c r="Q351" s="212"/>
      <c r="R351" s="213"/>
      <c r="S351" s="402">
        <f t="shared" si="106"/>
        <v>0</v>
      </c>
      <c r="T351" s="404">
        <f t="shared" si="95"/>
        <v>0</v>
      </c>
      <c r="U351" s="403"/>
      <c r="V351" s="144" t="str">
        <f>IF(T346&gt;0,"xx",IF(O346&gt;0,"xy",""))</f>
        <v/>
      </c>
      <c r="W351" s="43" t="str">
        <f t="shared" si="107"/>
        <v/>
      </c>
      <c r="X351" s="43" t="str">
        <f t="shared" si="100"/>
        <v/>
      </c>
      <c r="Y351" s="43" t="str">
        <f t="shared" si="103"/>
        <v/>
      </c>
    </row>
    <row r="352" spans="1:25" ht="13.5" hidden="1" thickBot="1">
      <c r="A352" s="155">
        <v>505000</v>
      </c>
      <c r="B352" s="156" t="s">
        <v>242</v>
      </c>
      <c r="C352" s="411" t="s">
        <v>347</v>
      </c>
      <c r="D352" s="414"/>
      <c r="E352" s="405">
        <v>20</v>
      </c>
      <c r="F352" s="406">
        <v>2.4</v>
      </c>
      <c r="G352" s="412">
        <f>IF(E352&lt;=30,(0.6*E352+1.25)*F352,((0.6*30+1.25)+0.5*(E352-30))*F352)</f>
        <v>31.799999999999997</v>
      </c>
      <c r="H352" s="465">
        <v>148.34</v>
      </c>
      <c r="I352" s="465">
        <f t="shared" si="97"/>
        <v>180.14</v>
      </c>
      <c r="J352" s="407">
        <f t="shared" si="94"/>
        <v>228.42</v>
      </c>
      <c r="K352" s="408" t="s">
        <v>16</v>
      </c>
      <c r="L352" s="152">
        <v>0</v>
      </c>
      <c r="M352" s="152"/>
      <c r="N352" s="402">
        <f t="shared" si="104"/>
        <v>0</v>
      </c>
      <c r="O352" s="402">
        <f t="shared" si="105"/>
        <v>0</v>
      </c>
      <c r="P352" s="403"/>
      <c r="Q352" s="152">
        <f t="shared" si="102"/>
        <v>0</v>
      </c>
      <c r="R352" s="152">
        <f t="shared" si="102"/>
        <v>0</v>
      </c>
      <c r="S352" s="402">
        <f t="shared" si="106"/>
        <v>0</v>
      </c>
      <c r="T352" s="404">
        <f t="shared" si="95"/>
        <v>0</v>
      </c>
      <c r="U352" s="403"/>
      <c r="W352" s="43" t="str">
        <f t="shared" si="107"/>
        <v/>
      </c>
      <c r="X352" s="43" t="str">
        <f t="shared" si="100"/>
        <v/>
      </c>
      <c r="Y352" s="43" t="str">
        <f t="shared" si="103"/>
        <v/>
      </c>
    </row>
    <row r="353" spans="1:25" ht="13.5" hidden="1" thickBot="1">
      <c r="A353" s="155">
        <v>505100</v>
      </c>
      <c r="B353" s="156" t="s">
        <v>242</v>
      </c>
      <c r="C353" s="411" t="s">
        <v>348</v>
      </c>
      <c r="D353" s="351"/>
      <c r="E353" s="405">
        <v>20</v>
      </c>
      <c r="F353" s="406">
        <v>2.4</v>
      </c>
      <c r="G353" s="412">
        <f>IF(E353&lt;=30,(0.6*E353+1.25)*F353,((0.6*30+1.25)+0.5*(E353-30))*F353)</f>
        <v>31.799999999999997</v>
      </c>
      <c r="H353" s="465">
        <v>167.99</v>
      </c>
      <c r="I353" s="465">
        <f t="shared" si="97"/>
        <v>199.79000000000002</v>
      </c>
      <c r="J353" s="407">
        <f t="shared" si="94"/>
        <v>253.33</v>
      </c>
      <c r="K353" s="408" t="s">
        <v>16</v>
      </c>
      <c r="L353" s="152">
        <v>0</v>
      </c>
      <c r="M353" s="204"/>
      <c r="N353" s="402">
        <f t="shared" si="104"/>
        <v>0</v>
      </c>
      <c r="O353" s="404">
        <f t="shared" si="105"/>
        <v>0</v>
      </c>
      <c r="P353" s="403"/>
      <c r="Q353" s="205">
        <f t="shared" si="102"/>
        <v>0</v>
      </c>
      <c r="R353" s="204">
        <f t="shared" si="102"/>
        <v>0</v>
      </c>
      <c r="S353" s="402">
        <f t="shared" si="106"/>
        <v>0</v>
      </c>
      <c r="T353" s="404">
        <f t="shared" si="95"/>
        <v>0</v>
      </c>
      <c r="U353" s="403"/>
      <c r="W353" s="43" t="str">
        <f t="shared" si="107"/>
        <v/>
      </c>
      <c r="X353" s="43" t="str">
        <f t="shared" si="100"/>
        <v/>
      </c>
      <c r="Y353" s="43" t="str">
        <f t="shared" si="103"/>
        <v/>
      </c>
    </row>
    <row r="354" spans="1:25" ht="13.5" hidden="1" thickBot="1">
      <c r="A354" s="400" t="s">
        <v>217</v>
      </c>
      <c r="B354" s="206"/>
      <c r="C354" s="344" t="s">
        <v>265</v>
      </c>
      <c r="D354" s="185"/>
      <c r="E354" s="207"/>
      <c r="F354" s="208"/>
      <c r="G354" s="209"/>
      <c r="H354" s="210"/>
      <c r="I354" s="210"/>
      <c r="J354" s="210"/>
      <c r="K354" s="210" t="s">
        <v>1029</v>
      </c>
      <c r="L354" s="152">
        <v>0</v>
      </c>
      <c r="M354" s="210"/>
      <c r="N354" s="210"/>
      <c r="O354" s="211"/>
      <c r="P354" s="403"/>
      <c r="Q354" s="209"/>
      <c r="R354" s="210"/>
      <c r="S354" s="210"/>
      <c r="T354" s="211"/>
      <c r="U354" s="403"/>
      <c r="V354" s="144" t="str">
        <f>IF(OR(SUM(O355:O379)&gt;0,SUM(T355:T379)&gt;0),"y","")</f>
        <v/>
      </c>
      <c r="W354" s="43" t="str">
        <f t="shared" si="107"/>
        <v/>
      </c>
      <c r="X354" s="43" t="str">
        <f t="shared" si="100"/>
        <v/>
      </c>
      <c r="Y354" s="43" t="str">
        <f t="shared" si="103"/>
        <v/>
      </c>
    </row>
    <row r="355" spans="1:25" ht="13.5" hidden="1" thickBot="1">
      <c r="A355" s="397" t="s">
        <v>217</v>
      </c>
      <c r="B355" s="165" t="s">
        <v>217</v>
      </c>
      <c r="C355" s="203"/>
      <c r="D355" s="167"/>
      <c r="E355" s="168"/>
      <c r="F355" s="169"/>
      <c r="G355" s="170"/>
      <c r="H355" s="171"/>
      <c r="I355" s="452"/>
      <c r="J355" s="453">
        <f t="shared" ref="J355:J379" si="108">IF(ISBLANK(I355),0,ROUND(I355*(1+$E$10)*(1+$E$11*D355),2))</f>
        <v>0</v>
      </c>
      <c r="K355" s="392" t="s">
        <v>1029</v>
      </c>
      <c r="L355" s="152">
        <v>0</v>
      </c>
      <c r="M355" s="204"/>
      <c r="N355" s="402">
        <f t="shared" ref="N355" si="109">IF(ISBLANK(L355),0,ROUND(J355*L355,2))</f>
        <v>0</v>
      </c>
      <c r="O355" s="404">
        <f t="shared" ref="O355:O379" si="110">IF(ISBLANK(M355),0,ROUND(L355*M355,2))</f>
        <v>0</v>
      </c>
      <c r="P355" s="403"/>
      <c r="Q355" s="205">
        <f t="shared" ref="Q355:R379" si="111">L355</f>
        <v>0</v>
      </c>
      <c r="R355" s="204">
        <f t="shared" si="111"/>
        <v>0</v>
      </c>
      <c r="S355" s="402">
        <f t="shared" ref="S355:S379" si="112">IF(ISBLANK(Q355),0,ROUND(J355*Q355,2))</f>
        <v>0</v>
      </c>
      <c r="T355" s="404">
        <f t="shared" ref="T355:T379" si="113">IF(ISBLANK(Q355),0,ROUND(Q355*R355,2))</f>
        <v>0</v>
      </c>
      <c r="U355" s="403"/>
      <c r="W355" s="43" t="str">
        <f t="shared" si="107"/>
        <v/>
      </c>
      <c r="X355" s="43" t="str">
        <f t="shared" si="100"/>
        <v/>
      </c>
      <c r="Y355" s="43" t="str">
        <f t="shared" si="103"/>
        <v/>
      </c>
    </row>
    <row r="356" spans="1:25" ht="13.5" hidden="1" thickBot="1">
      <c r="A356" s="397" t="s">
        <v>217</v>
      </c>
      <c r="B356" s="165" t="s">
        <v>217</v>
      </c>
      <c r="C356" s="166"/>
      <c r="D356" s="167"/>
      <c r="E356" s="168"/>
      <c r="F356" s="169"/>
      <c r="G356" s="170"/>
      <c r="H356" s="171"/>
      <c r="I356" s="452"/>
      <c r="J356" s="454">
        <f t="shared" si="108"/>
        <v>0</v>
      </c>
      <c r="K356" s="392" t="s">
        <v>1029</v>
      </c>
      <c r="L356" s="152">
        <v>0</v>
      </c>
      <c r="M356" s="152"/>
      <c r="N356" s="402">
        <f>IF(ISBLANK(L356),0,ROUND(J356*L356,2))</f>
        <v>0</v>
      </c>
      <c r="O356" s="402">
        <f t="shared" si="110"/>
        <v>0</v>
      </c>
      <c r="P356" s="403"/>
      <c r="Q356" s="152">
        <f t="shared" si="111"/>
        <v>0</v>
      </c>
      <c r="R356" s="152">
        <f t="shared" si="111"/>
        <v>0</v>
      </c>
      <c r="S356" s="402">
        <f t="shared" si="112"/>
        <v>0</v>
      </c>
      <c r="T356" s="164">
        <f t="shared" si="113"/>
        <v>0</v>
      </c>
      <c r="U356" s="403"/>
      <c r="W356" s="43" t="str">
        <f t="shared" si="107"/>
        <v/>
      </c>
      <c r="X356" s="43" t="str">
        <f t="shared" si="100"/>
        <v/>
      </c>
      <c r="Y356" s="43" t="str">
        <f t="shared" si="103"/>
        <v/>
      </c>
    </row>
    <row r="357" spans="1:25" ht="13.5" hidden="1" thickBot="1">
      <c r="A357" s="397" t="s">
        <v>217</v>
      </c>
      <c r="B357" s="165" t="s">
        <v>217</v>
      </c>
      <c r="C357" s="166"/>
      <c r="D357" s="167"/>
      <c r="E357" s="168"/>
      <c r="F357" s="169"/>
      <c r="G357" s="170"/>
      <c r="H357" s="171"/>
      <c r="I357" s="452"/>
      <c r="J357" s="454">
        <f t="shared" si="108"/>
        <v>0</v>
      </c>
      <c r="K357" s="392" t="s">
        <v>1029</v>
      </c>
      <c r="L357" s="152">
        <v>0</v>
      </c>
      <c r="M357" s="152"/>
      <c r="N357" s="402">
        <f t="shared" ref="N357:N379" si="114">IF(ISBLANK(L357),0,ROUND(J357*L357,2))</f>
        <v>0</v>
      </c>
      <c r="O357" s="402">
        <f t="shared" si="110"/>
        <v>0</v>
      </c>
      <c r="P357" s="403"/>
      <c r="Q357" s="152">
        <f t="shared" si="111"/>
        <v>0</v>
      </c>
      <c r="R357" s="152">
        <f t="shared" si="111"/>
        <v>0</v>
      </c>
      <c r="S357" s="402">
        <f t="shared" si="112"/>
        <v>0</v>
      </c>
      <c r="T357" s="404">
        <f t="shared" si="113"/>
        <v>0</v>
      </c>
      <c r="U357" s="403"/>
      <c r="W357" s="43" t="str">
        <f t="shared" si="107"/>
        <v/>
      </c>
      <c r="X357" s="43" t="str">
        <f t="shared" si="100"/>
        <v/>
      </c>
      <c r="Y357" s="43" t="str">
        <f t="shared" si="103"/>
        <v/>
      </c>
    </row>
    <row r="358" spans="1:25" ht="13.5" hidden="1" thickBot="1">
      <c r="A358" s="397" t="s">
        <v>217</v>
      </c>
      <c r="B358" s="165" t="s">
        <v>217</v>
      </c>
      <c r="C358" s="166"/>
      <c r="D358" s="167"/>
      <c r="E358" s="168"/>
      <c r="F358" s="169"/>
      <c r="G358" s="170"/>
      <c r="H358" s="171"/>
      <c r="I358" s="452"/>
      <c r="J358" s="454">
        <f t="shared" si="108"/>
        <v>0</v>
      </c>
      <c r="K358" s="392" t="s">
        <v>1029</v>
      </c>
      <c r="L358" s="152">
        <v>0</v>
      </c>
      <c r="M358" s="152"/>
      <c r="N358" s="402">
        <f t="shared" si="114"/>
        <v>0</v>
      </c>
      <c r="O358" s="402">
        <f t="shared" si="110"/>
        <v>0</v>
      </c>
      <c r="P358" s="403"/>
      <c r="Q358" s="152">
        <f t="shared" si="111"/>
        <v>0</v>
      </c>
      <c r="R358" s="152">
        <f t="shared" si="111"/>
        <v>0</v>
      </c>
      <c r="S358" s="402">
        <f t="shared" si="112"/>
        <v>0</v>
      </c>
      <c r="T358" s="404">
        <f t="shared" si="113"/>
        <v>0</v>
      </c>
      <c r="U358" s="403"/>
      <c r="W358" s="43" t="str">
        <f t="shared" si="107"/>
        <v/>
      </c>
      <c r="X358" s="43" t="str">
        <f t="shared" si="100"/>
        <v/>
      </c>
      <c r="Y358" s="43" t="str">
        <f t="shared" si="103"/>
        <v/>
      </c>
    </row>
    <row r="359" spans="1:25" ht="13.5" hidden="1" thickBot="1">
      <c r="A359" s="397" t="s">
        <v>217</v>
      </c>
      <c r="B359" s="165" t="s">
        <v>217</v>
      </c>
      <c r="C359" s="166"/>
      <c r="D359" s="167"/>
      <c r="E359" s="168"/>
      <c r="F359" s="169"/>
      <c r="G359" s="170"/>
      <c r="H359" s="171"/>
      <c r="I359" s="452"/>
      <c r="J359" s="454">
        <f t="shared" si="108"/>
        <v>0</v>
      </c>
      <c r="K359" s="392" t="s">
        <v>1029</v>
      </c>
      <c r="L359" s="152">
        <v>0</v>
      </c>
      <c r="M359" s="152"/>
      <c r="N359" s="402">
        <f t="shared" si="114"/>
        <v>0</v>
      </c>
      <c r="O359" s="402">
        <f t="shared" si="110"/>
        <v>0</v>
      </c>
      <c r="P359" s="403"/>
      <c r="Q359" s="152">
        <f t="shared" si="111"/>
        <v>0</v>
      </c>
      <c r="R359" s="152">
        <f t="shared" si="111"/>
        <v>0</v>
      </c>
      <c r="S359" s="402">
        <f t="shared" si="112"/>
        <v>0</v>
      </c>
      <c r="T359" s="404">
        <f t="shared" si="113"/>
        <v>0</v>
      </c>
      <c r="U359" s="403"/>
      <c r="W359" s="43" t="str">
        <f t="shared" si="107"/>
        <v/>
      </c>
      <c r="X359" s="43" t="str">
        <f t="shared" si="100"/>
        <v/>
      </c>
      <c r="Y359" s="43" t="str">
        <f t="shared" si="103"/>
        <v/>
      </c>
    </row>
    <row r="360" spans="1:25" ht="13.5" hidden="1" thickBot="1">
      <c r="A360" s="397" t="s">
        <v>217</v>
      </c>
      <c r="B360" s="165" t="s">
        <v>217</v>
      </c>
      <c r="C360" s="166"/>
      <c r="D360" s="167"/>
      <c r="E360" s="168"/>
      <c r="F360" s="169"/>
      <c r="G360" s="170"/>
      <c r="H360" s="171"/>
      <c r="I360" s="452"/>
      <c r="J360" s="454">
        <f t="shared" si="108"/>
        <v>0</v>
      </c>
      <c r="K360" s="392" t="s">
        <v>1029</v>
      </c>
      <c r="L360" s="152">
        <v>0</v>
      </c>
      <c r="M360" s="152"/>
      <c r="N360" s="402">
        <f t="shared" si="114"/>
        <v>0</v>
      </c>
      <c r="O360" s="402">
        <f t="shared" si="110"/>
        <v>0</v>
      </c>
      <c r="P360" s="403"/>
      <c r="Q360" s="152">
        <f t="shared" si="111"/>
        <v>0</v>
      </c>
      <c r="R360" s="152">
        <f t="shared" si="111"/>
        <v>0</v>
      </c>
      <c r="S360" s="402">
        <f t="shared" si="112"/>
        <v>0</v>
      </c>
      <c r="T360" s="404">
        <f t="shared" si="113"/>
        <v>0</v>
      </c>
      <c r="U360" s="403"/>
      <c r="W360" s="43" t="str">
        <f t="shared" si="107"/>
        <v/>
      </c>
      <c r="X360" s="43" t="str">
        <f t="shared" si="100"/>
        <v/>
      </c>
      <c r="Y360" s="43" t="str">
        <f t="shared" si="103"/>
        <v/>
      </c>
    </row>
    <row r="361" spans="1:25" ht="13.5" hidden="1" thickBot="1">
      <c r="A361" s="397" t="s">
        <v>217</v>
      </c>
      <c r="B361" s="165" t="s">
        <v>217</v>
      </c>
      <c r="C361" s="166"/>
      <c r="D361" s="167"/>
      <c r="E361" s="168"/>
      <c r="F361" s="169"/>
      <c r="G361" s="170"/>
      <c r="H361" s="171"/>
      <c r="I361" s="452"/>
      <c r="J361" s="454">
        <f t="shared" si="108"/>
        <v>0</v>
      </c>
      <c r="K361" s="392" t="s">
        <v>1029</v>
      </c>
      <c r="L361" s="152">
        <v>0</v>
      </c>
      <c r="M361" s="152"/>
      <c r="N361" s="402">
        <f t="shared" si="114"/>
        <v>0</v>
      </c>
      <c r="O361" s="402">
        <f t="shared" si="110"/>
        <v>0</v>
      </c>
      <c r="P361" s="403"/>
      <c r="Q361" s="152">
        <f t="shared" si="111"/>
        <v>0</v>
      </c>
      <c r="R361" s="152">
        <f t="shared" si="111"/>
        <v>0</v>
      </c>
      <c r="S361" s="402">
        <f t="shared" si="112"/>
        <v>0</v>
      </c>
      <c r="T361" s="404">
        <f t="shared" si="113"/>
        <v>0</v>
      </c>
      <c r="U361" s="403"/>
      <c r="W361" s="43" t="str">
        <f t="shared" si="107"/>
        <v/>
      </c>
      <c r="X361" s="43" t="str">
        <f t="shared" si="100"/>
        <v/>
      </c>
      <c r="Y361" s="43" t="str">
        <f t="shared" si="103"/>
        <v/>
      </c>
    </row>
    <row r="362" spans="1:25" ht="13.5" hidden="1" thickBot="1">
      <c r="A362" s="397" t="s">
        <v>217</v>
      </c>
      <c r="B362" s="165" t="s">
        <v>217</v>
      </c>
      <c r="C362" s="166"/>
      <c r="D362" s="167"/>
      <c r="E362" s="168"/>
      <c r="F362" s="169"/>
      <c r="G362" s="170"/>
      <c r="H362" s="171"/>
      <c r="I362" s="452"/>
      <c r="J362" s="454">
        <f t="shared" si="108"/>
        <v>0</v>
      </c>
      <c r="K362" s="392" t="s">
        <v>1029</v>
      </c>
      <c r="L362" s="152">
        <v>0</v>
      </c>
      <c r="M362" s="152"/>
      <c r="N362" s="402">
        <f t="shared" si="114"/>
        <v>0</v>
      </c>
      <c r="O362" s="402">
        <f t="shared" si="110"/>
        <v>0</v>
      </c>
      <c r="P362" s="403"/>
      <c r="Q362" s="152">
        <f t="shared" si="111"/>
        <v>0</v>
      </c>
      <c r="R362" s="152">
        <f t="shared" si="111"/>
        <v>0</v>
      </c>
      <c r="S362" s="402">
        <f t="shared" si="112"/>
        <v>0</v>
      </c>
      <c r="T362" s="404">
        <f t="shared" si="113"/>
        <v>0</v>
      </c>
      <c r="U362" s="403"/>
      <c r="W362" s="43" t="str">
        <f t="shared" si="107"/>
        <v/>
      </c>
      <c r="X362" s="43" t="str">
        <f t="shared" si="100"/>
        <v/>
      </c>
      <c r="Y362" s="43" t="str">
        <f t="shared" si="103"/>
        <v/>
      </c>
    </row>
    <row r="363" spans="1:25" ht="13.5" hidden="1" thickBot="1">
      <c r="A363" s="397" t="s">
        <v>217</v>
      </c>
      <c r="B363" s="165" t="s">
        <v>217</v>
      </c>
      <c r="C363" s="166"/>
      <c r="D363" s="167"/>
      <c r="E363" s="168"/>
      <c r="F363" s="169"/>
      <c r="G363" s="170"/>
      <c r="H363" s="171"/>
      <c r="I363" s="452"/>
      <c r="J363" s="454">
        <f t="shared" si="108"/>
        <v>0</v>
      </c>
      <c r="K363" s="392" t="s">
        <v>1029</v>
      </c>
      <c r="L363" s="152">
        <v>0</v>
      </c>
      <c r="M363" s="152"/>
      <c r="N363" s="402">
        <f t="shared" si="114"/>
        <v>0</v>
      </c>
      <c r="O363" s="402">
        <f t="shared" si="110"/>
        <v>0</v>
      </c>
      <c r="P363" s="403"/>
      <c r="Q363" s="152">
        <f t="shared" si="111"/>
        <v>0</v>
      </c>
      <c r="R363" s="152">
        <f t="shared" si="111"/>
        <v>0</v>
      </c>
      <c r="S363" s="402">
        <f t="shared" si="112"/>
        <v>0</v>
      </c>
      <c r="T363" s="404">
        <f t="shared" si="113"/>
        <v>0</v>
      </c>
      <c r="U363" s="403"/>
      <c r="W363" s="43" t="str">
        <f t="shared" si="107"/>
        <v/>
      </c>
      <c r="X363" s="43" t="str">
        <f t="shared" si="100"/>
        <v/>
      </c>
      <c r="Y363" s="43" t="str">
        <f t="shared" si="103"/>
        <v/>
      </c>
    </row>
    <row r="364" spans="1:25" ht="13.5" hidden="1" thickBot="1">
      <c r="A364" s="397" t="s">
        <v>217</v>
      </c>
      <c r="B364" s="165" t="s">
        <v>217</v>
      </c>
      <c r="C364" s="166"/>
      <c r="D364" s="167"/>
      <c r="E364" s="168"/>
      <c r="F364" s="169"/>
      <c r="G364" s="170"/>
      <c r="H364" s="171"/>
      <c r="I364" s="452"/>
      <c r="J364" s="454">
        <f t="shared" si="108"/>
        <v>0</v>
      </c>
      <c r="K364" s="392" t="s">
        <v>1029</v>
      </c>
      <c r="L364" s="152">
        <v>0</v>
      </c>
      <c r="M364" s="152"/>
      <c r="N364" s="402">
        <f t="shared" si="114"/>
        <v>0</v>
      </c>
      <c r="O364" s="402">
        <f t="shared" si="110"/>
        <v>0</v>
      </c>
      <c r="P364" s="403"/>
      <c r="Q364" s="152">
        <f t="shared" si="111"/>
        <v>0</v>
      </c>
      <c r="R364" s="152">
        <f t="shared" si="111"/>
        <v>0</v>
      </c>
      <c r="S364" s="402">
        <f t="shared" si="112"/>
        <v>0</v>
      </c>
      <c r="T364" s="404">
        <f t="shared" si="113"/>
        <v>0</v>
      </c>
      <c r="U364" s="403"/>
      <c r="W364" s="43" t="str">
        <f t="shared" si="107"/>
        <v/>
      </c>
      <c r="X364" s="43" t="str">
        <f t="shared" si="100"/>
        <v/>
      </c>
      <c r="Y364" s="43" t="str">
        <f t="shared" si="103"/>
        <v/>
      </c>
    </row>
    <row r="365" spans="1:25" ht="13.5" hidden="1" thickBot="1">
      <c r="A365" s="397" t="s">
        <v>217</v>
      </c>
      <c r="B365" s="165" t="s">
        <v>217</v>
      </c>
      <c r="C365" s="166"/>
      <c r="D365" s="167"/>
      <c r="E365" s="168"/>
      <c r="F365" s="169"/>
      <c r="G365" s="170"/>
      <c r="H365" s="171"/>
      <c r="I365" s="452"/>
      <c r="J365" s="454">
        <f t="shared" si="108"/>
        <v>0</v>
      </c>
      <c r="K365" s="392" t="s">
        <v>1029</v>
      </c>
      <c r="L365" s="152">
        <v>0</v>
      </c>
      <c r="M365" s="152"/>
      <c r="N365" s="402">
        <f t="shared" si="114"/>
        <v>0</v>
      </c>
      <c r="O365" s="402">
        <f t="shared" si="110"/>
        <v>0</v>
      </c>
      <c r="P365" s="403"/>
      <c r="Q365" s="152">
        <f t="shared" si="111"/>
        <v>0</v>
      </c>
      <c r="R365" s="152">
        <f t="shared" si="111"/>
        <v>0</v>
      </c>
      <c r="S365" s="402">
        <f t="shared" si="112"/>
        <v>0</v>
      </c>
      <c r="T365" s="404">
        <f t="shared" si="113"/>
        <v>0</v>
      </c>
      <c r="U365" s="403"/>
      <c r="W365" s="43" t="str">
        <f t="shared" si="107"/>
        <v/>
      </c>
      <c r="X365" s="43" t="str">
        <f t="shared" si="100"/>
        <v/>
      </c>
      <c r="Y365" s="43" t="str">
        <f t="shared" si="103"/>
        <v/>
      </c>
    </row>
    <row r="366" spans="1:25" ht="13.5" hidden="1" thickBot="1">
      <c r="A366" s="397" t="s">
        <v>217</v>
      </c>
      <c r="B366" s="165" t="s">
        <v>217</v>
      </c>
      <c r="C366" s="166"/>
      <c r="D366" s="167"/>
      <c r="E366" s="168"/>
      <c r="F366" s="169"/>
      <c r="G366" s="170"/>
      <c r="H366" s="171"/>
      <c r="I366" s="452"/>
      <c r="J366" s="454">
        <f t="shared" si="108"/>
        <v>0</v>
      </c>
      <c r="K366" s="392" t="s">
        <v>1029</v>
      </c>
      <c r="L366" s="152">
        <v>0</v>
      </c>
      <c r="M366" s="152"/>
      <c r="N366" s="402">
        <f t="shared" si="114"/>
        <v>0</v>
      </c>
      <c r="O366" s="402">
        <f t="shared" si="110"/>
        <v>0</v>
      </c>
      <c r="P366" s="403"/>
      <c r="Q366" s="152">
        <f t="shared" si="111"/>
        <v>0</v>
      </c>
      <c r="R366" s="152">
        <f t="shared" si="111"/>
        <v>0</v>
      </c>
      <c r="S366" s="402">
        <f t="shared" si="112"/>
        <v>0</v>
      </c>
      <c r="T366" s="404">
        <f t="shared" si="113"/>
        <v>0</v>
      </c>
      <c r="U366" s="403"/>
      <c r="W366" s="43" t="str">
        <f t="shared" si="107"/>
        <v/>
      </c>
      <c r="X366" s="43" t="str">
        <f t="shared" si="100"/>
        <v/>
      </c>
      <c r="Y366" s="43" t="str">
        <f t="shared" si="103"/>
        <v/>
      </c>
    </row>
    <row r="367" spans="1:25" ht="13.5" hidden="1" thickBot="1">
      <c r="A367" s="397" t="s">
        <v>217</v>
      </c>
      <c r="B367" s="165" t="s">
        <v>217</v>
      </c>
      <c r="C367" s="166"/>
      <c r="D367" s="167"/>
      <c r="E367" s="168"/>
      <c r="F367" s="169"/>
      <c r="G367" s="170"/>
      <c r="H367" s="171"/>
      <c r="I367" s="452"/>
      <c r="J367" s="454">
        <f t="shared" si="108"/>
        <v>0</v>
      </c>
      <c r="K367" s="392" t="s">
        <v>1029</v>
      </c>
      <c r="L367" s="152">
        <v>0</v>
      </c>
      <c r="M367" s="152"/>
      <c r="N367" s="402">
        <f t="shared" si="114"/>
        <v>0</v>
      </c>
      <c r="O367" s="402">
        <f t="shared" si="110"/>
        <v>0</v>
      </c>
      <c r="P367" s="403"/>
      <c r="Q367" s="152">
        <f t="shared" si="111"/>
        <v>0</v>
      </c>
      <c r="R367" s="152">
        <f t="shared" si="111"/>
        <v>0</v>
      </c>
      <c r="S367" s="402">
        <f t="shared" si="112"/>
        <v>0</v>
      </c>
      <c r="T367" s="404">
        <f t="shared" si="113"/>
        <v>0</v>
      </c>
      <c r="U367" s="403"/>
      <c r="W367" s="43" t="str">
        <f t="shared" si="107"/>
        <v/>
      </c>
      <c r="X367" s="43" t="str">
        <f t="shared" si="100"/>
        <v/>
      </c>
      <c r="Y367" s="43" t="str">
        <f t="shared" si="103"/>
        <v/>
      </c>
    </row>
    <row r="368" spans="1:25" ht="13.5" hidden="1" thickBot="1">
      <c r="A368" s="397" t="s">
        <v>217</v>
      </c>
      <c r="B368" s="165" t="s">
        <v>217</v>
      </c>
      <c r="C368" s="166"/>
      <c r="D368" s="167"/>
      <c r="E368" s="168"/>
      <c r="F368" s="169"/>
      <c r="G368" s="170"/>
      <c r="H368" s="171"/>
      <c r="I368" s="452"/>
      <c r="J368" s="454">
        <f t="shared" si="108"/>
        <v>0</v>
      </c>
      <c r="K368" s="392" t="s">
        <v>1029</v>
      </c>
      <c r="L368" s="152">
        <v>0</v>
      </c>
      <c r="M368" s="152"/>
      <c r="N368" s="402">
        <f t="shared" si="114"/>
        <v>0</v>
      </c>
      <c r="O368" s="402">
        <f t="shared" si="110"/>
        <v>0</v>
      </c>
      <c r="P368" s="403"/>
      <c r="Q368" s="152">
        <f t="shared" si="111"/>
        <v>0</v>
      </c>
      <c r="R368" s="152">
        <f t="shared" si="111"/>
        <v>0</v>
      </c>
      <c r="S368" s="402">
        <f t="shared" si="112"/>
        <v>0</v>
      </c>
      <c r="T368" s="404">
        <f t="shared" si="113"/>
        <v>0</v>
      </c>
      <c r="U368" s="403"/>
      <c r="W368" s="43" t="str">
        <f t="shared" si="107"/>
        <v/>
      </c>
      <c r="X368" s="43" t="str">
        <f t="shared" si="100"/>
        <v/>
      </c>
      <c r="Y368" s="43" t="str">
        <f t="shared" si="103"/>
        <v/>
      </c>
    </row>
    <row r="369" spans="1:25" ht="13.5" hidden="1" thickBot="1">
      <c r="A369" s="397" t="s">
        <v>217</v>
      </c>
      <c r="B369" s="165" t="s">
        <v>217</v>
      </c>
      <c r="C369" s="166"/>
      <c r="D369" s="167"/>
      <c r="E369" s="168"/>
      <c r="F369" s="169"/>
      <c r="G369" s="170"/>
      <c r="H369" s="171"/>
      <c r="I369" s="452"/>
      <c r="J369" s="454">
        <f t="shared" si="108"/>
        <v>0</v>
      </c>
      <c r="K369" s="392" t="s">
        <v>1029</v>
      </c>
      <c r="L369" s="152">
        <v>0</v>
      </c>
      <c r="M369" s="152"/>
      <c r="N369" s="402">
        <f t="shared" si="114"/>
        <v>0</v>
      </c>
      <c r="O369" s="402">
        <f t="shared" si="110"/>
        <v>0</v>
      </c>
      <c r="P369" s="403"/>
      <c r="Q369" s="152">
        <f t="shared" si="111"/>
        <v>0</v>
      </c>
      <c r="R369" s="152">
        <f t="shared" si="111"/>
        <v>0</v>
      </c>
      <c r="S369" s="402">
        <f t="shared" si="112"/>
        <v>0</v>
      </c>
      <c r="T369" s="404">
        <f t="shared" si="113"/>
        <v>0</v>
      </c>
      <c r="U369" s="403"/>
      <c r="W369" s="43" t="str">
        <f t="shared" si="107"/>
        <v/>
      </c>
      <c r="X369" s="43" t="str">
        <f t="shared" si="100"/>
        <v/>
      </c>
      <c r="Y369" s="43" t="str">
        <f t="shared" si="103"/>
        <v/>
      </c>
    </row>
    <row r="370" spans="1:25" ht="13.5" hidden="1" thickBot="1">
      <c r="A370" s="397" t="s">
        <v>217</v>
      </c>
      <c r="B370" s="165" t="s">
        <v>217</v>
      </c>
      <c r="C370" s="166"/>
      <c r="D370" s="167"/>
      <c r="E370" s="168"/>
      <c r="F370" s="169"/>
      <c r="G370" s="170"/>
      <c r="H370" s="171"/>
      <c r="I370" s="452"/>
      <c r="J370" s="454">
        <f t="shared" si="108"/>
        <v>0</v>
      </c>
      <c r="K370" s="392" t="s">
        <v>1029</v>
      </c>
      <c r="L370" s="152">
        <v>0</v>
      </c>
      <c r="M370" s="152"/>
      <c r="N370" s="402">
        <f t="shared" si="114"/>
        <v>0</v>
      </c>
      <c r="O370" s="402">
        <f t="shared" si="110"/>
        <v>0</v>
      </c>
      <c r="P370" s="403"/>
      <c r="Q370" s="152">
        <f t="shared" si="111"/>
        <v>0</v>
      </c>
      <c r="R370" s="152">
        <f t="shared" si="111"/>
        <v>0</v>
      </c>
      <c r="S370" s="402">
        <f t="shared" si="112"/>
        <v>0</v>
      </c>
      <c r="T370" s="404">
        <f t="shared" si="113"/>
        <v>0</v>
      </c>
      <c r="U370" s="403"/>
      <c r="W370" s="43" t="str">
        <f t="shared" si="107"/>
        <v/>
      </c>
      <c r="X370" s="43" t="str">
        <f t="shared" si="100"/>
        <v/>
      </c>
      <c r="Y370" s="43" t="str">
        <f t="shared" si="103"/>
        <v/>
      </c>
    </row>
    <row r="371" spans="1:25" ht="13.5" hidden="1" thickBot="1">
      <c r="A371" s="397" t="s">
        <v>217</v>
      </c>
      <c r="B371" s="165" t="s">
        <v>217</v>
      </c>
      <c r="C371" s="166"/>
      <c r="D371" s="167"/>
      <c r="E371" s="168"/>
      <c r="F371" s="169"/>
      <c r="G371" s="170"/>
      <c r="H371" s="171"/>
      <c r="I371" s="452"/>
      <c r="J371" s="454">
        <f t="shared" si="108"/>
        <v>0</v>
      </c>
      <c r="K371" s="392" t="s">
        <v>1029</v>
      </c>
      <c r="L371" s="152">
        <v>0</v>
      </c>
      <c r="M371" s="152"/>
      <c r="N371" s="402">
        <f t="shared" si="114"/>
        <v>0</v>
      </c>
      <c r="O371" s="402">
        <f t="shared" si="110"/>
        <v>0</v>
      </c>
      <c r="P371" s="403"/>
      <c r="Q371" s="152">
        <f t="shared" si="111"/>
        <v>0</v>
      </c>
      <c r="R371" s="152">
        <f t="shared" si="111"/>
        <v>0</v>
      </c>
      <c r="S371" s="402">
        <f t="shared" si="112"/>
        <v>0</v>
      </c>
      <c r="T371" s="404">
        <f t="shared" si="113"/>
        <v>0</v>
      </c>
      <c r="U371" s="403"/>
      <c r="W371" s="43" t="str">
        <f t="shared" si="107"/>
        <v/>
      </c>
      <c r="X371" s="43" t="str">
        <f t="shared" si="100"/>
        <v/>
      </c>
      <c r="Y371" s="43" t="str">
        <f t="shared" si="103"/>
        <v/>
      </c>
    </row>
    <row r="372" spans="1:25" ht="13.5" hidden="1" thickBot="1">
      <c r="A372" s="397" t="s">
        <v>217</v>
      </c>
      <c r="B372" s="165" t="s">
        <v>217</v>
      </c>
      <c r="C372" s="166"/>
      <c r="D372" s="167"/>
      <c r="E372" s="168"/>
      <c r="F372" s="169"/>
      <c r="G372" s="170"/>
      <c r="H372" s="171"/>
      <c r="I372" s="452"/>
      <c r="J372" s="454">
        <f t="shared" si="108"/>
        <v>0</v>
      </c>
      <c r="K372" s="392" t="s">
        <v>1029</v>
      </c>
      <c r="L372" s="152">
        <v>0</v>
      </c>
      <c r="M372" s="152"/>
      <c r="N372" s="402">
        <f t="shared" si="114"/>
        <v>0</v>
      </c>
      <c r="O372" s="402">
        <f t="shared" si="110"/>
        <v>0</v>
      </c>
      <c r="P372" s="403"/>
      <c r="Q372" s="152">
        <f t="shared" si="111"/>
        <v>0</v>
      </c>
      <c r="R372" s="152">
        <f t="shared" si="111"/>
        <v>0</v>
      </c>
      <c r="S372" s="402">
        <f t="shared" si="112"/>
        <v>0</v>
      </c>
      <c r="T372" s="404">
        <f t="shared" si="113"/>
        <v>0</v>
      </c>
      <c r="U372" s="403"/>
      <c r="W372" s="43" t="str">
        <f t="shared" si="107"/>
        <v/>
      </c>
      <c r="X372" s="43" t="str">
        <f t="shared" si="100"/>
        <v/>
      </c>
      <c r="Y372" s="43" t="str">
        <f t="shared" si="103"/>
        <v/>
      </c>
    </row>
    <row r="373" spans="1:25" ht="13.5" hidden="1" thickBot="1">
      <c r="A373" s="397" t="s">
        <v>217</v>
      </c>
      <c r="B373" s="165" t="s">
        <v>217</v>
      </c>
      <c r="C373" s="166"/>
      <c r="D373" s="167"/>
      <c r="E373" s="168"/>
      <c r="F373" s="169"/>
      <c r="G373" s="170"/>
      <c r="H373" s="171"/>
      <c r="I373" s="452"/>
      <c r="J373" s="454">
        <f t="shared" si="108"/>
        <v>0</v>
      </c>
      <c r="K373" s="392" t="s">
        <v>1029</v>
      </c>
      <c r="L373" s="152">
        <v>0</v>
      </c>
      <c r="M373" s="152"/>
      <c r="N373" s="402">
        <f t="shared" si="114"/>
        <v>0</v>
      </c>
      <c r="O373" s="402">
        <f t="shared" si="110"/>
        <v>0</v>
      </c>
      <c r="P373" s="403"/>
      <c r="Q373" s="152">
        <f t="shared" si="111"/>
        <v>0</v>
      </c>
      <c r="R373" s="152">
        <f t="shared" si="111"/>
        <v>0</v>
      </c>
      <c r="S373" s="402">
        <f t="shared" si="112"/>
        <v>0</v>
      </c>
      <c r="T373" s="404">
        <f t="shared" si="113"/>
        <v>0</v>
      </c>
      <c r="U373" s="403"/>
      <c r="W373" s="43" t="str">
        <f t="shared" si="107"/>
        <v/>
      </c>
      <c r="X373" s="43" t="str">
        <f t="shared" si="100"/>
        <v/>
      </c>
      <c r="Y373" s="43" t="str">
        <f t="shared" si="103"/>
        <v/>
      </c>
    </row>
    <row r="374" spans="1:25" ht="13.5" hidden="1" thickBot="1">
      <c r="A374" s="397" t="s">
        <v>217</v>
      </c>
      <c r="B374" s="165" t="s">
        <v>217</v>
      </c>
      <c r="C374" s="166"/>
      <c r="D374" s="167"/>
      <c r="E374" s="168"/>
      <c r="F374" s="169"/>
      <c r="G374" s="170"/>
      <c r="H374" s="171"/>
      <c r="I374" s="452"/>
      <c r="J374" s="454">
        <f t="shared" si="108"/>
        <v>0</v>
      </c>
      <c r="K374" s="392" t="s">
        <v>1029</v>
      </c>
      <c r="L374" s="152">
        <v>0</v>
      </c>
      <c r="M374" s="152"/>
      <c r="N374" s="402">
        <f t="shared" si="114"/>
        <v>0</v>
      </c>
      <c r="O374" s="402">
        <f t="shared" si="110"/>
        <v>0</v>
      </c>
      <c r="P374" s="403"/>
      <c r="Q374" s="152">
        <f t="shared" si="111"/>
        <v>0</v>
      </c>
      <c r="R374" s="152">
        <f t="shared" si="111"/>
        <v>0</v>
      </c>
      <c r="S374" s="402">
        <f t="shared" si="112"/>
        <v>0</v>
      </c>
      <c r="T374" s="404">
        <f t="shared" si="113"/>
        <v>0</v>
      </c>
      <c r="U374" s="403"/>
      <c r="W374" s="43" t="str">
        <f t="shared" si="107"/>
        <v/>
      </c>
      <c r="X374" s="43" t="str">
        <f t="shared" si="100"/>
        <v/>
      </c>
      <c r="Y374" s="43" t="str">
        <f t="shared" si="103"/>
        <v/>
      </c>
    </row>
    <row r="375" spans="1:25" ht="13.5" hidden="1" thickBot="1">
      <c r="A375" s="397" t="s">
        <v>217</v>
      </c>
      <c r="B375" s="165" t="s">
        <v>217</v>
      </c>
      <c r="C375" s="166"/>
      <c r="D375" s="167"/>
      <c r="E375" s="168"/>
      <c r="F375" s="169"/>
      <c r="G375" s="170"/>
      <c r="H375" s="171"/>
      <c r="I375" s="452"/>
      <c r="J375" s="454">
        <f t="shared" si="108"/>
        <v>0</v>
      </c>
      <c r="K375" s="392" t="s">
        <v>1029</v>
      </c>
      <c r="L375" s="152">
        <v>0</v>
      </c>
      <c r="M375" s="152"/>
      <c r="N375" s="402">
        <f t="shared" si="114"/>
        <v>0</v>
      </c>
      <c r="O375" s="402">
        <f t="shared" si="110"/>
        <v>0</v>
      </c>
      <c r="P375" s="403"/>
      <c r="Q375" s="152">
        <f t="shared" si="111"/>
        <v>0</v>
      </c>
      <c r="R375" s="152">
        <f t="shared" si="111"/>
        <v>0</v>
      </c>
      <c r="S375" s="402">
        <f t="shared" si="112"/>
        <v>0</v>
      </c>
      <c r="T375" s="404">
        <f t="shared" si="113"/>
        <v>0</v>
      </c>
      <c r="U375" s="403"/>
      <c r="W375" s="43" t="str">
        <f t="shared" si="107"/>
        <v/>
      </c>
      <c r="X375" s="43" t="str">
        <f t="shared" si="100"/>
        <v/>
      </c>
      <c r="Y375" s="43" t="str">
        <f t="shared" si="103"/>
        <v/>
      </c>
    </row>
    <row r="376" spans="1:25" ht="13.5" hidden="1" thickBot="1">
      <c r="A376" s="397" t="s">
        <v>217</v>
      </c>
      <c r="B376" s="165" t="s">
        <v>217</v>
      </c>
      <c r="C376" s="166"/>
      <c r="D376" s="167"/>
      <c r="E376" s="168"/>
      <c r="F376" s="169"/>
      <c r="G376" s="170"/>
      <c r="H376" s="171"/>
      <c r="I376" s="452"/>
      <c r="J376" s="454">
        <f t="shared" si="108"/>
        <v>0</v>
      </c>
      <c r="K376" s="392" t="s">
        <v>1029</v>
      </c>
      <c r="L376" s="152">
        <v>0</v>
      </c>
      <c r="M376" s="152"/>
      <c r="N376" s="402">
        <f t="shared" si="114"/>
        <v>0</v>
      </c>
      <c r="O376" s="402">
        <f t="shared" si="110"/>
        <v>0</v>
      </c>
      <c r="P376" s="403"/>
      <c r="Q376" s="152">
        <f t="shared" si="111"/>
        <v>0</v>
      </c>
      <c r="R376" s="152">
        <f t="shared" si="111"/>
        <v>0</v>
      </c>
      <c r="S376" s="402">
        <f t="shared" si="112"/>
        <v>0</v>
      </c>
      <c r="T376" s="404">
        <f t="shared" si="113"/>
        <v>0</v>
      </c>
      <c r="U376" s="403"/>
      <c r="W376" s="43" t="str">
        <f t="shared" si="107"/>
        <v/>
      </c>
      <c r="X376" s="43" t="str">
        <f t="shared" si="100"/>
        <v/>
      </c>
      <c r="Y376" s="43" t="str">
        <f t="shared" si="103"/>
        <v/>
      </c>
    </row>
    <row r="377" spans="1:25" ht="13.5" hidden="1" thickBot="1">
      <c r="A377" s="397" t="s">
        <v>217</v>
      </c>
      <c r="B377" s="165" t="s">
        <v>217</v>
      </c>
      <c r="C377" s="166"/>
      <c r="D377" s="167"/>
      <c r="E377" s="168"/>
      <c r="F377" s="169"/>
      <c r="G377" s="170"/>
      <c r="H377" s="171"/>
      <c r="I377" s="452"/>
      <c r="J377" s="454">
        <f t="shared" si="108"/>
        <v>0</v>
      </c>
      <c r="K377" s="392" t="s">
        <v>1029</v>
      </c>
      <c r="L377" s="152">
        <v>0</v>
      </c>
      <c r="M377" s="152"/>
      <c r="N377" s="402">
        <f t="shared" si="114"/>
        <v>0</v>
      </c>
      <c r="O377" s="402">
        <f t="shared" si="110"/>
        <v>0</v>
      </c>
      <c r="P377" s="403"/>
      <c r="Q377" s="152">
        <f t="shared" si="111"/>
        <v>0</v>
      </c>
      <c r="R377" s="152">
        <f t="shared" si="111"/>
        <v>0</v>
      </c>
      <c r="S377" s="402">
        <f t="shared" si="112"/>
        <v>0</v>
      </c>
      <c r="T377" s="404">
        <f t="shared" si="113"/>
        <v>0</v>
      </c>
      <c r="U377" s="403"/>
      <c r="W377" s="43" t="str">
        <f t="shared" si="107"/>
        <v/>
      </c>
      <c r="X377" s="43" t="str">
        <f t="shared" si="100"/>
        <v/>
      </c>
      <c r="Y377" s="43" t="str">
        <f t="shared" si="103"/>
        <v/>
      </c>
    </row>
    <row r="378" spans="1:25" ht="13.5" hidden="1" thickBot="1">
      <c r="A378" s="397" t="s">
        <v>217</v>
      </c>
      <c r="B378" s="165" t="s">
        <v>217</v>
      </c>
      <c r="C378" s="166"/>
      <c r="D378" s="167"/>
      <c r="E378" s="168"/>
      <c r="F378" s="169"/>
      <c r="G378" s="170"/>
      <c r="H378" s="171"/>
      <c r="I378" s="452"/>
      <c r="J378" s="454">
        <f t="shared" si="108"/>
        <v>0</v>
      </c>
      <c r="K378" s="392" t="s">
        <v>1029</v>
      </c>
      <c r="L378" s="152">
        <v>0</v>
      </c>
      <c r="M378" s="152"/>
      <c r="N378" s="402">
        <f t="shared" si="114"/>
        <v>0</v>
      </c>
      <c r="O378" s="402">
        <f t="shared" si="110"/>
        <v>0</v>
      </c>
      <c r="P378" s="403"/>
      <c r="Q378" s="152">
        <f t="shared" si="111"/>
        <v>0</v>
      </c>
      <c r="R378" s="152">
        <f t="shared" si="111"/>
        <v>0</v>
      </c>
      <c r="S378" s="402">
        <f t="shared" si="112"/>
        <v>0</v>
      </c>
      <c r="T378" s="404">
        <f t="shared" si="113"/>
        <v>0</v>
      </c>
      <c r="U378" s="403"/>
      <c r="W378" s="43" t="str">
        <f t="shared" si="107"/>
        <v/>
      </c>
      <c r="X378" s="43" t="str">
        <f t="shared" si="100"/>
        <v/>
      </c>
      <c r="Y378" s="43" t="str">
        <f t="shared" si="103"/>
        <v/>
      </c>
    </row>
    <row r="379" spans="1:25" ht="13.5" hidden="1" thickBot="1">
      <c r="A379" s="398" t="s">
        <v>217</v>
      </c>
      <c r="B379" s="172" t="s">
        <v>217</v>
      </c>
      <c r="C379" s="173"/>
      <c r="D379" s="174"/>
      <c r="E379" s="175"/>
      <c r="F379" s="176"/>
      <c r="G379" s="177"/>
      <c r="H379" s="178"/>
      <c r="I379" s="455"/>
      <c r="J379" s="456">
        <f t="shared" si="108"/>
        <v>0</v>
      </c>
      <c r="K379" s="393" t="s">
        <v>1029</v>
      </c>
      <c r="L379" s="469">
        <v>0</v>
      </c>
      <c r="M379" s="152"/>
      <c r="N379" s="163">
        <f t="shared" si="114"/>
        <v>0</v>
      </c>
      <c r="O379" s="163">
        <f t="shared" si="110"/>
        <v>0</v>
      </c>
      <c r="P379" s="403"/>
      <c r="Q379" s="152">
        <f t="shared" si="111"/>
        <v>0</v>
      </c>
      <c r="R379" s="152">
        <f t="shared" si="111"/>
        <v>0</v>
      </c>
      <c r="S379" s="163">
        <f t="shared" si="112"/>
        <v>0</v>
      </c>
      <c r="T379" s="179">
        <f t="shared" si="113"/>
        <v>0</v>
      </c>
      <c r="U379" s="403"/>
      <c r="W379" s="43" t="str">
        <f t="shared" si="107"/>
        <v/>
      </c>
      <c r="X379" s="43" t="str">
        <f t="shared" si="100"/>
        <v/>
      </c>
      <c r="Y379" s="43" t="str">
        <f t="shared" si="103"/>
        <v/>
      </c>
    </row>
    <row r="380" spans="1:25" ht="13.5" thickBot="1">
      <c r="A380" s="180" t="s">
        <v>218</v>
      </c>
      <c r="B380" s="181"/>
      <c r="C380" s="346" t="s">
        <v>594</v>
      </c>
      <c r="D380" s="137"/>
      <c r="E380" s="138"/>
      <c r="F380" s="139"/>
      <c r="G380" s="140"/>
      <c r="H380" s="141"/>
      <c r="I380" s="141"/>
      <c r="J380" s="141"/>
      <c r="K380" s="141" t="s">
        <v>1029</v>
      </c>
      <c r="L380" s="470">
        <v>0</v>
      </c>
      <c r="M380" s="141"/>
      <c r="N380" s="141"/>
      <c r="O380" s="142"/>
      <c r="P380" s="143">
        <f>SUM(O381:O434)</f>
        <v>65121.35</v>
      </c>
      <c r="Q380" s="140"/>
      <c r="R380" s="141"/>
      <c r="S380" s="141"/>
      <c r="T380" s="142"/>
      <c r="U380" s="143">
        <f>SUM(T381:T434)</f>
        <v>65121.35</v>
      </c>
      <c r="V380" s="144" t="str">
        <f>IF(OR(P380&gt;0,U380&gt;0),"X","")</f>
        <v>X</v>
      </c>
      <c r="W380" s="43" t="str">
        <f t="shared" si="107"/>
        <v>x</v>
      </c>
      <c r="X380" s="43" t="str">
        <f t="shared" si="100"/>
        <v>x</v>
      </c>
      <c r="Y380" s="43" t="str">
        <f t="shared" si="103"/>
        <v>x</v>
      </c>
    </row>
    <row r="381" spans="1:25" hidden="1">
      <c r="A381" s="155">
        <v>85335</v>
      </c>
      <c r="B381" s="156" t="s">
        <v>241</v>
      </c>
      <c r="C381" s="411" t="s">
        <v>349</v>
      </c>
      <c r="D381" s="351"/>
      <c r="E381" s="405"/>
      <c r="F381" s="406"/>
      <c r="G381" s="158"/>
      <c r="H381" s="465">
        <v>7.75</v>
      </c>
      <c r="I381" s="465">
        <f>IF(ISBLANK(H381),"",SUM(G381:H381))</f>
        <v>7.75</v>
      </c>
      <c r="J381" s="407">
        <f>IF(ISBLANK(H381),0,ROUND(I381*(1+$E$10)*(1+$E$11*D381),2))</f>
        <v>9.83</v>
      </c>
      <c r="K381" s="408" t="s">
        <v>20</v>
      </c>
      <c r="L381" s="152">
        <v>0</v>
      </c>
      <c r="M381" s="152"/>
      <c r="N381" s="402">
        <f t="shared" si="104"/>
        <v>0</v>
      </c>
      <c r="O381" s="402">
        <f t="shared" si="105"/>
        <v>0</v>
      </c>
      <c r="P381" s="403"/>
      <c r="Q381" s="152">
        <f t="shared" ref="Q381:R384" si="115">L381</f>
        <v>0</v>
      </c>
      <c r="R381" s="152">
        <f t="shared" si="115"/>
        <v>0</v>
      </c>
      <c r="S381" s="402">
        <f t="shared" si="106"/>
        <v>0</v>
      </c>
      <c r="T381" s="404">
        <f t="shared" ref="T381:T408" si="116">IF(ISBLANK(Q381),0,ROUND(Q381*R381,2))</f>
        <v>0</v>
      </c>
      <c r="U381" s="403"/>
      <c r="W381" s="43" t="str">
        <f t="shared" si="107"/>
        <v/>
      </c>
      <c r="X381" s="43" t="str">
        <f t="shared" si="100"/>
        <v/>
      </c>
      <c r="Y381" s="43" t="str">
        <f t="shared" si="103"/>
        <v/>
      </c>
    </row>
    <row r="382" spans="1:25" hidden="1">
      <c r="A382" s="155" t="s">
        <v>1043</v>
      </c>
      <c r="B382" s="156" t="s">
        <v>241</v>
      </c>
      <c r="C382" s="343" t="s">
        <v>350</v>
      </c>
      <c r="D382" s="372"/>
      <c r="E382" s="182"/>
      <c r="F382" s="161"/>
      <c r="G382" s="162"/>
      <c r="H382" s="465">
        <v>11.533000000000001</v>
      </c>
      <c r="I382" s="465">
        <f>IF(ISBLANK(H382),"",SUM(G382:H382))</f>
        <v>11.533000000000001</v>
      </c>
      <c r="J382" s="407">
        <f>IF(ISBLANK(H382),0,ROUND(I382*(1+$E$10)*(1+$E$11*D382),2))</f>
        <v>14.62</v>
      </c>
      <c r="K382" s="408" t="s">
        <v>20</v>
      </c>
      <c r="L382" s="152">
        <v>0</v>
      </c>
      <c r="M382" s="152"/>
      <c r="N382" s="402">
        <f t="shared" si="104"/>
        <v>0</v>
      </c>
      <c r="O382" s="404">
        <f t="shared" si="105"/>
        <v>0</v>
      </c>
      <c r="P382" s="403"/>
      <c r="Q382" s="205">
        <f t="shared" si="115"/>
        <v>0</v>
      </c>
      <c r="R382" s="204">
        <f t="shared" si="115"/>
        <v>0</v>
      </c>
      <c r="S382" s="402">
        <f t="shared" si="106"/>
        <v>0</v>
      </c>
      <c r="T382" s="404">
        <f t="shared" si="116"/>
        <v>0</v>
      </c>
      <c r="U382" s="403"/>
      <c r="W382" s="43" t="str">
        <f t="shared" si="107"/>
        <v/>
      </c>
      <c r="X382" s="43" t="str">
        <f t="shared" si="100"/>
        <v/>
      </c>
      <c r="Y382" s="43" t="str">
        <f t="shared" si="103"/>
        <v/>
      </c>
    </row>
    <row r="383" spans="1:25" hidden="1">
      <c r="A383" s="155">
        <v>535200</v>
      </c>
      <c r="B383" s="156" t="s">
        <v>242</v>
      </c>
      <c r="C383" s="411" t="s">
        <v>288</v>
      </c>
      <c r="D383" s="351"/>
      <c r="E383" s="405"/>
      <c r="F383" s="406"/>
      <c r="G383" s="158"/>
      <c r="H383" s="465">
        <v>8.5399999999999991</v>
      </c>
      <c r="I383" s="465">
        <f>IF(ISBLANK(H383),"",SUM(G383:H383))*0.95</f>
        <v>8.1129999999999995</v>
      </c>
      <c r="J383" s="407">
        <f t="shared" ref="J383:J384" si="117">IF(ISBLANK(H383),0,ROUND(I383*(1+$E$10)*(1+$E$11*D383),2))</f>
        <v>10.29</v>
      </c>
      <c r="K383" s="408" t="s">
        <v>20</v>
      </c>
      <c r="L383" s="152">
        <v>0</v>
      </c>
      <c r="M383" s="152"/>
      <c r="N383" s="402">
        <f t="shared" si="104"/>
        <v>0</v>
      </c>
      <c r="O383" s="402">
        <f t="shared" si="105"/>
        <v>0</v>
      </c>
      <c r="P383" s="403"/>
      <c r="Q383" s="152">
        <f t="shared" si="115"/>
        <v>0</v>
      </c>
      <c r="R383" s="152">
        <f t="shared" si="115"/>
        <v>0</v>
      </c>
      <c r="S383" s="402">
        <f t="shared" si="106"/>
        <v>0</v>
      </c>
      <c r="T383" s="404">
        <f t="shared" si="116"/>
        <v>0</v>
      </c>
      <c r="U383" s="403"/>
      <c r="W383" s="43" t="str">
        <f t="shared" si="107"/>
        <v/>
      </c>
      <c r="X383" s="43" t="str">
        <f t="shared" si="100"/>
        <v/>
      </c>
      <c r="Y383" s="43" t="str">
        <f t="shared" si="103"/>
        <v/>
      </c>
    </row>
    <row r="384" spans="1:25" hidden="1">
      <c r="A384" s="155">
        <v>810100</v>
      </c>
      <c r="B384" s="156" t="s">
        <v>242</v>
      </c>
      <c r="C384" s="411" t="s">
        <v>351</v>
      </c>
      <c r="D384" s="351"/>
      <c r="E384" s="405"/>
      <c r="F384" s="406"/>
      <c r="G384" s="158">
        <f>SUM(G385:G387)</f>
        <v>15.857870000000002</v>
      </c>
      <c r="H384" s="465">
        <v>45.900000000000006</v>
      </c>
      <c r="I384" s="465">
        <f t="shared" ref="I384:I407" si="118">IF(ISBLANK(H384),"",SUM(G384:H384))</f>
        <v>61.757870000000011</v>
      </c>
      <c r="J384" s="407">
        <f t="shared" si="117"/>
        <v>78.31</v>
      </c>
      <c r="K384" s="408" t="s">
        <v>20</v>
      </c>
      <c r="L384" s="152">
        <v>0</v>
      </c>
      <c r="M384" s="152"/>
      <c r="N384" s="402">
        <f t="shared" si="104"/>
        <v>0</v>
      </c>
      <c r="O384" s="402">
        <f t="shared" si="105"/>
        <v>0</v>
      </c>
      <c r="P384" s="403"/>
      <c r="Q384" s="152">
        <f t="shared" si="115"/>
        <v>0</v>
      </c>
      <c r="R384" s="152">
        <f t="shared" si="115"/>
        <v>0</v>
      </c>
      <c r="S384" s="402">
        <f t="shared" si="106"/>
        <v>0</v>
      </c>
      <c r="T384" s="404">
        <f t="shared" si="116"/>
        <v>0</v>
      </c>
      <c r="U384" s="403"/>
      <c r="W384" s="43" t="str">
        <f t="shared" si="107"/>
        <v/>
      </c>
      <c r="X384" s="43" t="str">
        <f t="shared" si="100"/>
        <v/>
      </c>
      <c r="Y384" s="43" t="str">
        <f t="shared" si="103"/>
        <v/>
      </c>
    </row>
    <row r="385" spans="1:25" hidden="1">
      <c r="A385" s="155" t="s">
        <v>183</v>
      </c>
      <c r="B385" s="156"/>
      <c r="C385" s="348" t="s">
        <v>251</v>
      </c>
      <c r="D385" s="157"/>
      <c r="E385" s="405">
        <v>500</v>
      </c>
      <c r="F385" s="406">
        <v>2.7799999999999998E-2</v>
      </c>
      <c r="G385" s="158">
        <f>IF(E385&lt;=30,(0.42*E385+3.55)*F385,((0.42*30+3.55)+0.35*(E385-30))*F385)</f>
        <v>5.0220700000000003</v>
      </c>
      <c r="H385" s="465"/>
      <c r="I385" s="465" t="str">
        <f t="shared" si="118"/>
        <v/>
      </c>
      <c r="J385" s="407">
        <f>IF(ISBLANK(H385),0,IF(ROUND(I385*(1+$E$10)*(1-$E$11),2)&lt;37,37,ROUND(I385*(1+$E$10)*(1-$E$11),2)))</f>
        <v>0</v>
      </c>
      <c r="K385" s="394" t="s">
        <v>1029</v>
      </c>
      <c r="L385" s="152">
        <v>0</v>
      </c>
      <c r="M385" s="213"/>
      <c r="N385" s="402">
        <f t="shared" si="104"/>
        <v>0</v>
      </c>
      <c r="O385" s="402">
        <f t="shared" si="105"/>
        <v>0</v>
      </c>
      <c r="P385" s="403"/>
      <c r="Q385" s="212"/>
      <c r="R385" s="213"/>
      <c r="S385" s="402">
        <f t="shared" si="106"/>
        <v>0</v>
      </c>
      <c r="T385" s="404">
        <f t="shared" si="116"/>
        <v>0</v>
      </c>
      <c r="U385" s="403"/>
      <c r="V385" s="144" t="str">
        <f>IF(T384&gt;0,"xx",IF(O384&gt;0,"xy",""))</f>
        <v/>
      </c>
      <c r="W385" s="43" t="str">
        <f t="shared" si="107"/>
        <v/>
      </c>
      <c r="X385" s="43" t="str">
        <f t="shared" si="100"/>
        <v/>
      </c>
      <c r="Y385" s="43" t="str">
        <f t="shared" si="103"/>
        <v/>
      </c>
    </row>
    <row r="386" spans="1:25" hidden="1">
      <c r="A386" s="155" t="s">
        <v>183</v>
      </c>
      <c r="B386" s="156"/>
      <c r="C386" s="348" t="s">
        <v>314</v>
      </c>
      <c r="D386" s="157"/>
      <c r="E386" s="405">
        <v>180</v>
      </c>
      <c r="F386" s="406">
        <v>9.8900000000000002E-2</v>
      </c>
      <c r="G386" s="412">
        <f>IF(E386&lt;=30,(0.6*E386+1.25)*F386,((0.6*30+1.25)+0.5*(E386-30))*F386)</f>
        <v>9.3213249999999999</v>
      </c>
      <c r="H386" s="465"/>
      <c r="I386" s="465" t="str">
        <f t="shared" si="118"/>
        <v/>
      </c>
      <c r="J386" s="407">
        <f>IF(ISBLANK(H386),0,IF(ROUND(I386*(1+$E$10)*(1-$E$11),2)&lt;37,37,ROUND(I386*(1+$E$10)*(1-$E$11),2)))</f>
        <v>0</v>
      </c>
      <c r="K386" s="394" t="s">
        <v>1029</v>
      </c>
      <c r="L386" s="152">
        <v>0</v>
      </c>
      <c r="M386" s="213"/>
      <c r="N386" s="402">
        <f t="shared" si="104"/>
        <v>0</v>
      </c>
      <c r="O386" s="402">
        <f t="shared" si="105"/>
        <v>0</v>
      </c>
      <c r="P386" s="403"/>
      <c r="Q386" s="212"/>
      <c r="R386" s="213"/>
      <c r="S386" s="402">
        <f t="shared" si="106"/>
        <v>0</v>
      </c>
      <c r="T386" s="404">
        <f t="shared" si="116"/>
        <v>0</v>
      </c>
      <c r="U386" s="403"/>
      <c r="V386" s="144" t="str">
        <f>IF(T384&gt;0,"xx",IF(O384&gt;0,"xy",""))</f>
        <v/>
      </c>
      <c r="W386" s="43" t="str">
        <f t="shared" si="107"/>
        <v/>
      </c>
      <c r="X386" s="43" t="str">
        <f t="shared" si="100"/>
        <v/>
      </c>
      <c r="Y386" s="43" t="str">
        <f t="shared" si="103"/>
        <v/>
      </c>
    </row>
    <row r="387" spans="1:25" hidden="1">
      <c r="A387" s="155" t="s">
        <v>183</v>
      </c>
      <c r="B387" s="156"/>
      <c r="C387" s="348" t="s">
        <v>323</v>
      </c>
      <c r="D387" s="157"/>
      <c r="E387" s="405">
        <v>20</v>
      </c>
      <c r="F387" s="406">
        <v>0.1143</v>
      </c>
      <c r="G387" s="412">
        <f>IF(E387&lt;=30,(0.6*E387+1.25)*F387,((0.6*30+1.25)+0.5*(E387-30))*F387)</f>
        <v>1.514475</v>
      </c>
      <c r="H387" s="465"/>
      <c r="I387" s="465" t="str">
        <f t="shared" si="118"/>
        <v/>
      </c>
      <c r="J387" s="407">
        <f>IF(ISBLANK(H387),0,IF(ROUND(I387*(1+$E$10)*(1-$E$11),2)&lt;37,37,ROUND(I387*(1+$E$10)*(1-$E$11),2)))</f>
        <v>0</v>
      </c>
      <c r="K387" s="394" t="s">
        <v>1029</v>
      </c>
      <c r="L387" s="152">
        <v>0</v>
      </c>
      <c r="M387" s="213"/>
      <c r="N387" s="402">
        <f t="shared" si="104"/>
        <v>0</v>
      </c>
      <c r="O387" s="402">
        <f t="shared" si="105"/>
        <v>0</v>
      </c>
      <c r="P387" s="403"/>
      <c r="Q387" s="212"/>
      <c r="R387" s="213"/>
      <c r="S387" s="402">
        <f t="shared" si="106"/>
        <v>0</v>
      </c>
      <c r="T387" s="404">
        <f t="shared" si="116"/>
        <v>0</v>
      </c>
      <c r="U387" s="403"/>
      <c r="V387" s="144" t="str">
        <f>IF(T384&gt;0,"xx",IF(O384&gt;0,"xy",""))</f>
        <v/>
      </c>
      <c r="W387" s="43" t="str">
        <f t="shared" si="107"/>
        <v/>
      </c>
      <c r="X387" s="43" t="str">
        <f t="shared" si="100"/>
        <v/>
      </c>
      <c r="Y387" s="43" t="str">
        <f t="shared" si="103"/>
        <v/>
      </c>
    </row>
    <row r="388" spans="1:25" hidden="1">
      <c r="A388" s="155">
        <v>810050</v>
      </c>
      <c r="B388" s="156" t="s">
        <v>242</v>
      </c>
      <c r="C388" s="411" t="s">
        <v>352</v>
      </c>
      <c r="D388" s="351"/>
      <c r="E388" s="405">
        <v>10</v>
      </c>
      <c r="F388" s="406">
        <f>0.0278+0.0988+0.1143</f>
        <v>0.2409</v>
      </c>
      <c r="G388" s="412">
        <f>IF(E388&lt;=30,(0.6*E388+1.25)*F388,((0.6*30+1.25)+0.5*(E388-30))*F388)</f>
        <v>1.7465250000000001</v>
      </c>
      <c r="H388" s="465">
        <v>73.37</v>
      </c>
      <c r="I388" s="465">
        <f t="shared" ref="I388" si="119">IF(ISBLANK(H388),"",SUM(G388:H388))</f>
        <v>75.11652500000001</v>
      </c>
      <c r="J388" s="407">
        <f t="shared" ref="J388:J389" si="120">IF(ISBLANK(H388),0,ROUND(I388*(1+$E$10)*(1+$E$11*D388),2))</f>
        <v>95.25</v>
      </c>
      <c r="K388" s="408" t="s">
        <v>20</v>
      </c>
      <c r="L388" s="152">
        <v>0</v>
      </c>
      <c r="M388" s="152"/>
      <c r="N388" s="402">
        <f t="shared" si="104"/>
        <v>0</v>
      </c>
      <c r="O388" s="402">
        <f t="shared" si="105"/>
        <v>0</v>
      </c>
      <c r="P388" s="403"/>
      <c r="Q388" s="152">
        <f t="shared" si="102"/>
        <v>0</v>
      </c>
      <c r="R388" s="152">
        <f t="shared" si="102"/>
        <v>0</v>
      </c>
      <c r="S388" s="402">
        <f t="shared" si="106"/>
        <v>0</v>
      </c>
      <c r="T388" s="404">
        <f t="shared" si="116"/>
        <v>0</v>
      </c>
      <c r="U388" s="403"/>
      <c r="V388" s="144"/>
      <c r="W388" s="43" t="str">
        <f t="shared" si="107"/>
        <v/>
      </c>
      <c r="X388" s="43" t="str">
        <f t="shared" si="100"/>
        <v/>
      </c>
      <c r="Y388" s="43" t="str">
        <f t="shared" si="103"/>
        <v/>
      </c>
    </row>
    <row r="389" spans="1:25" hidden="1">
      <c r="A389" s="155">
        <v>810200</v>
      </c>
      <c r="B389" s="156" t="s">
        <v>242</v>
      </c>
      <c r="C389" s="411" t="s">
        <v>353</v>
      </c>
      <c r="D389" s="351"/>
      <c r="E389" s="405"/>
      <c r="F389" s="406"/>
      <c r="G389" s="158">
        <f>SUM(G390:G392)</f>
        <v>6.4570699999999999</v>
      </c>
      <c r="H389" s="465">
        <v>19.920000000000002</v>
      </c>
      <c r="I389" s="465">
        <f t="shared" si="118"/>
        <v>26.377070000000003</v>
      </c>
      <c r="J389" s="407">
        <f t="shared" si="120"/>
        <v>33.450000000000003</v>
      </c>
      <c r="K389" s="408" t="s">
        <v>20</v>
      </c>
      <c r="L389" s="152">
        <v>0</v>
      </c>
      <c r="M389" s="152"/>
      <c r="N389" s="402">
        <f t="shared" si="104"/>
        <v>0</v>
      </c>
      <c r="O389" s="402">
        <f t="shared" si="105"/>
        <v>0</v>
      </c>
      <c r="P389" s="403"/>
      <c r="Q389" s="152">
        <f t="shared" si="102"/>
        <v>0</v>
      </c>
      <c r="R389" s="152">
        <f t="shared" si="102"/>
        <v>0</v>
      </c>
      <c r="S389" s="402">
        <f t="shared" si="106"/>
        <v>0</v>
      </c>
      <c r="T389" s="404">
        <f t="shared" si="116"/>
        <v>0</v>
      </c>
      <c r="U389" s="403"/>
      <c r="V389" s="144"/>
      <c r="W389" s="43" t="str">
        <f t="shared" si="107"/>
        <v/>
      </c>
      <c r="X389" s="43" t="str">
        <f t="shared" si="100"/>
        <v/>
      </c>
      <c r="Y389" s="43" t="str">
        <f t="shared" si="103"/>
        <v/>
      </c>
    </row>
    <row r="390" spans="1:25" hidden="1">
      <c r="A390" s="155" t="s">
        <v>183</v>
      </c>
      <c r="B390" s="156"/>
      <c r="C390" s="348" t="s">
        <v>251</v>
      </c>
      <c r="D390" s="157"/>
      <c r="E390" s="405">
        <v>500</v>
      </c>
      <c r="F390" s="406">
        <v>1.1299999999999999E-2</v>
      </c>
      <c r="G390" s="158">
        <f>IF(E390&lt;=30,(0.42*E390+3.55)*F390,((0.42*30+3.55)+0.35*(E390-30))*F390)</f>
        <v>2.0413449999999997</v>
      </c>
      <c r="H390" s="465"/>
      <c r="I390" s="465" t="str">
        <f t="shared" si="118"/>
        <v/>
      </c>
      <c r="J390" s="407"/>
      <c r="K390" s="394" t="s">
        <v>1029</v>
      </c>
      <c r="L390" s="152">
        <v>0</v>
      </c>
      <c r="M390" s="213"/>
      <c r="N390" s="402">
        <f t="shared" si="104"/>
        <v>0</v>
      </c>
      <c r="O390" s="402">
        <f t="shared" si="105"/>
        <v>0</v>
      </c>
      <c r="P390" s="403"/>
      <c r="Q390" s="212"/>
      <c r="R390" s="213"/>
      <c r="S390" s="402">
        <f t="shared" si="106"/>
        <v>0</v>
      </c>
      <c r="T390" s="404">
        <f t="shared" si="116"/>
        <v>0</v>
      </c>
      <c r="U390" s="403"/>
      <c r="V390" s="144" t="str">
        <f>IF(T389&gt;0,"xx",IF(O389&gt;0,"xy",""))</f>
        <v/>
      </c>
      <c r="W390" s="43" t="str">
        <f t="shared" si="107"/>
        <v/>
      </c>
      <c r="X390" s="43" t="str">
        <f t="shared" si="100"/>
        <v/>
      </c>
      <c r="Y390" s="43" t="str">
        <f t="shared" si="103"/>
        <v/>
      </c>
    </row>
    <row r="391" spans="1:25" hidden="1">
      <c r="A391" s="155" t="s">
        <v>183</v>
      </c>
      <c r="B391" s="156"/>
      <c r="C391" s="348" t="s">
        <v>314</v>
      </c>
      <c r="D391" s="157"/>
      <c r="E391" s="405">
        <v>180</v>
      </c>
      <c r="F391" s="406">
        <v>4.0300000000000002E-2</v>
      </c>
      <c r="G391" s="412">
        <f>IF(E391&lt;=30,(0.6*E391+1.25)*F391,((0.6*30+1.25)+0.5*(E391-30))*F391)</f>
        <v>3.7982750000000003</v>
      </c>
      <c r="H391" s="465"/>
      <c r="I391" s="465" t="str">
        <f t="shared" si="118"/>
        <v/>
      </c>
      <c r="J391" s="407">
        <f>IF(ISBLANK(H391),0,IF(ROUND(I391*(1+$E$10)*(1-$E$11),2)&lt;37,37,ROUND(I391*(1+$E$10)*(1-$E$11),2)))</f>
        <v>0</v>
      </c>
      <c r="K391" s="394" t="s">
        <v>1029</v>
      </c>
      <c r="L391" s="152">
        <v>0</v>
      </c>
      <c r="M391" s="213"/>
      <c r="N391" s="402">
        <f t="shared" si="104"/>
        <v>0</v>
      </c>
      <c r="O391" s="402">
        <f t="shared" si="105"/>
        <v>0</v>
      </c>
      <c r="P391" s="403"/>
      <c r="Q391" s="212"/>
      <c r="R391" s="213"/>
      <c r="S391" s="402">
        <f t="shared" si="106"/>
        <v>0</v>
      </c>
      <c r="T391" s="404">
        <f t="shared" si="116"/>
        <v>0</v>
      </c>
      <c r="U391" s="403"/>
      <c r="V391" s="144" t="str">
        <f>IF(T389&gt;0,"xx",IF(O389&gt;0,"xy",""))</f>
        <v/>
      </c>
      <c r="W391" s="43" t="str">
        <f t="shared" si="107"/>
        <v/>
      </c>
      <c r="X391" s="43" t="str">
        <f t="shared" si="100"/>
        <v/>
      </c>
      <c r="Y391" s="43" t="str">
        <f t="shared" si="103"/>
        <v/>
      </c>
    </row>
    <row r="392" spans="1:25" hidden="1">
      <c r="A392" s="155" t="s">
        <v>183</v>
      </c>
      <c r="B392" s="156"/>
      <c r="C392" s="348" t="s">
        <v>323</v>
      </c>
      <c r="D392" s="157"/>
      <c r="E392" s="405">
        <v>20</v>
      </c>
      <c r="F392" s="406">
        <v>4.6600000000000003E-2</v>
      </c>
      <c r="G392" s="412">
        <f>IF(E392&lt;=30,(0.6*E392+1.25)*F392,((0.6*30+1.25)+0.5*(E392-30))*F392)</f>
        <v>0.61745000000000005</v>
      </c>
      <c r="H392" s="465"/>
      <c r="I392" s="465" t="str">
        <f t="shared" si="118"/>
        <v/>
      </c>
      <c r="J392" s="407">
        <f>IF(ISBLANK(H392),0,IF(ROUND(I392*(1+$E$10)*(1-$E$11),2)&lt;37,37,ROUND(I392*(1+$E$10)*(1-$E$11),2)))</f>
        <v>0</v>
      </c>
      <c r="K392" s="394" t="s">
        <v>1029</v>
      </c>
      <c r="L392" s="152">
        <v>0</v>
      </c>
      <c r="M392" s="213"/>
      <c r="N392" s="402">
        <f t="shared" si="104"/>
        <v>0</v>
      </c>
      <c r="O392" s="402">
        <f t="shared" si="105"/>
        <v>0</v>
      </c>
      <c r="P392" s="403"/>
      <c r="Q392" s="212"/>
      <c r="R392" s="213"/>
      <c r="S392" s="402">
        <f t="shared" si="106"/>
        <v>0</v>
      </c>
      <c r="T392" s="404">
        <f t="shared" si="116"/>
        <v>0</v>
      </c>
      <c r="U392" s="403"/>
      <c r="V392" s="144" t="str">
        <f>IF(T389&gt;0,"xx",IF(O389&gt;0,"xy",""))</f>
        <v/>
      </c>
      <c r="W392" s="43" t="str">
        <f t="shared" si="107"/>
        <v/>
      </c>
      <c r="X392" s="43" t="str">
        <f t="shared" ref="X392:X455" si="121">IF(V392="X","x",IF(V392="y","x",IF(V392="xx","x",IF(T392&gt;0,"x",""))))</f>
        <v/>
      </c>
      <c r="Y392" s="43" t="str">
        <f t="shared" si="103"/>
        <v/>
      </c>
    </row>
    <row r="393" spans="1:25" ht="13.5" thickBot="1">
      <c r="A393" s="155">
        <v>810150</v>
      </c>
      <c r="B393" s="156" t="s">
        <v>242</v>
      </c>
      <c r="C393" s="411" t="s">
        <v>354</v>
      </c>
      <c r="D393" s="351"/>
      <c r="E393" s="405"/>
      <c r="F393" s="406">
        <v>9.8199999999999996E-2</v>
      </c>
      <c r="G393" s="412">
        <f>IF(E393&lt;=30,(0.6*E393+1.25)*F393,((0.6*30+1.25)+0.5*(E393-30))*F393)</f>
        <v>0.12275</v>
      </c>
      <c r="H393" s="465">
        <v>34</v>
      </c>
      <c r="I393" s="465">
        <f t="shared" si="118"/>
        <v>34.122750000000003</v>
      </c>
      <c r="J393" s="407">
        <f t="shared" ref="J393:J394" si="122">IF(ISBLANK(H393),0,ROUND(I393*(1+$E$10)*(1+$E$11*D393),2))</f>
        <v>43.27</v>
      </c>
      <c r="K393" s="408" t="s">
        <v>20</v>
      </c>
      <c r="L393" s="152">
        <v>1505</v>
      </c>
      <c r="M393" s="152">
        <v>43.27</v>
      </c>
      <c r="N393" s="402">
        <f t="shared" si="104"/>
        <v>65121.35</v>
      </c>
      <c r="O393" s="402">
        <f t="shared" si="105"/>
        <v>65121.35</v>
      </c>
      <c r="P393" s="403"/>
      <c r="Q393" s="152">
        <f t="shared" si="102"/>
        <v>1505</v>
      </c>
      <c r="R393" s="152">
        <f t="shared" si="102"/>
        <v>43.27</v>
      </c>
      <c r="S393" s="402">
        <f t="shared" si="106"/>
        <v>65121.35</v>
      </c>
      <c r="T393" s="404">
        <f t="shared" si="116"/>
        <v>65121.35</v>
      </c>
      <c r="U393" s="403"/>
      <c r="W393" s="43" t="str">
        <f t="shared" si="107"/>
        <v>x</v>
      </c>
      <c r="X393" s="43" t="str">
        <f t="shared" si="121"/>
        <v>x</v>
      </c>
      <c r="Y393" s="43" t="str">
        <f t="shared" si="103"/>
        <v>x</v>
      </c>
    </row>
    <row r="394" spans="1:25" ht="13.5" hidden="1" thickBot="1">
      <c r="A394" s="155">
        <v>810700</v>
      </c>
      <c r="B394" s="156" t="s">
        <v>242</v>
      </c>
      <c r="C394" s="411" t="s">
        <v>355</v>
      </c>
      <c r="D394" s="351"/>
      <c r="E394" s="405"/>
      <c r="F394" s="406"/>
      <c r="G394" s="158">
        <f>SUM(G395:G397)</f>
        <v>4.7819099999999999</v>
      </c>
      <c r="H394" s="465">
        <v>16.350000000000001</v>
      </c>
      <c r="I394" s="465">
        <f t="shared" si="118"/>
        <v>21.131910000000001</v>
      </c>
      <c r="J394" s="407">
        <f t="shared" si="122"/>
        <v>26.8</v>
      </c>
      <c r="K394" s="408" t="s">
        <v>20</v>
      </c>
      <c r="L394" s="152">
        <v>0</v>
      </c>
      <c r="M394" s="152"/>
      <c r="N394" s="402">
        <f t="shared" si="104"/>
        <v>0</v>
      </c>
      <c r="O394" s="402">
        <f t="shared" si="105"/>
        <v>0</v>
      </c>
      <c r="P394" s="403"/>
      <c r="Q394" s="152">
        <f t="shared" si="102"/>
        <v>0</v>
      </c>
      <c r="R394" s="152">
        <f t="shared" si="102"/>
        <v>0</v>
      </c>
      <c r="S394" s="402">
        <f t="shared" si="106"/>
        <v>0</v>
      </c>
      <c r="T394" s="404">
        <f t="shared" si="116"/>
        <v>0</v>
      </c>
      <c r="U394" s="403"/>
      <c r="W394" s="43" t="str">
        <f t="shared" si="107"/>
        <v/>
      </c>
      <c r="X394" s="43" t="str">
        <f t="shared" si="121"/>
        <v/>
      </c>
      <c r="Y394" s="43" t="str">
        <f t="shared" si="103"/>
        <v/>
      </c>
    </row>
    <row r="395" spans="1:25" ht="13.5" hidden="1" thickBot="1">
      <c r="A395" s="155" t="s">
        <v>183</v>
      </c>
      <c r="B395" s="156"/>
      <c r="C395" s="348" t="s">
        <v>251</v>
      </c>
      <c r="D395" s="157"/>
      <c r="E395" s="405">
        <v>500</v>
      </c>
      <c r="F395" s="406">
        <v>8.3999999999999995E-3</v>
      </c>
      <c r="G395" s="158">
        <f>IF(E395&lt;=30,(0.42*E395+3.55)*F395,((0.42*30+3.55)+0.35*(E395-30))*F395)</f>
        <v>1.51746</v>
      </c>
      <c r="H395" s="465"/>
      <c r="I395" s="465" t="str">
        <f t="shared" si="118"/>
        <v/>
      </c>
      <c r="J395" s="407"/>
      <c r="K395" s="394" t="s">
        <v>1029</v>
      </c>
      <c r="L395" s="152">
        <v>0</v>
      </c>
      <c r="M395" s="213"/>
      <c r="N395" s="402">
        <f t="shared" si="104"/>
        <v>0</v>
      </c>
      <c r="O395" s="402">
        <f t="shared" si="105"/>
        <v>0</v>
      </c>
      <c r="P395" s="403"/>
      <c r="Q395" s="212"/>
      <c r="R395" s="213"/>
      <c r="S395" s="402">
        <f t="shared" si="106"/>
        <v>0</v>
      </c>
      <c r="T395" s="404">
        <f t="shared" si="116"/>
        <v>0</v>
      </c>
      <c r="U395" s="403"/>
      <c r="V395" s="144" t="str">
        <f>IF(T394&gt;0,"xx",IF(O394&gt;0,"xy",""))</f>
        <v/>
      </c>
      <c r="W395" s="43" t="str">
        <f t="shared" si="107"/>
        <v/>
      </c>
      <c r="X395" s="43" t="str">
        <f t="shared" si="121"/>
        <v/>
      </c>
      <c r="Y395" s="43" t="str">
        <f t="shared" si="103"/>
        <v/>
      </c>
    </row>
    <row r="396" spans="1:25" ht="13.5" hidden="1" thickBot="1">
      <c r="A396" s="155" t="s">
        <v>183</v>
      </c>
      <c r="B396" s="156"/>
      <c r="C396" s="348" t="s">
        <v>314</v>
      </c>
      <c r="D396" s="157"/>
      <c r="E396" s="405">
        <v>180</v>
      </c>
      <c r="F396" s="406">
        <v>2.98E-2</v>
      </c>
      <c r="G396" s="412">
        <f>IF(E396&lt;=30,(0.6*E396+1.25)*F396,((0.6*30+1.25)+0.5*(E396-30))*F396)</f>
        <v>2.8086500000000001</v>
      </c>
      <c r="H396" s="465"/>
      <c r="I396" s="465" t="str">
        <f t="shared" si="118"/>
        <v/>
      </c>
      <c r="J396" s="407">
        <f>IF(ISBLANK(H396),0,IF(ROUND(I396*(1+$E$10)*(1-$E$11),2)&lt;37,37,ROUND(I396*(1+$E$10)*(1-$E$11),2)))</f>
        <v>0</v>
      </c>
      <c r="K396" s="394" t="s">
        <v>1029</v>
      </c>
      <c r="L396" s="152">
        <v>0</v>
      </c>
      <c r="M396" s="213"/>
      <c r="N396" s="402">
        <f t="shared" si="104"/>
        <v>0</v>
      </c>
      <c r="O396" s="402">
        <f t="shared" si="105"/>
        <v>0</v>
      </c>
      <c r="P396" s="403"/>
      <c r="Q396" s="212"/>
      <c r="R396" s="213"/>
      <c r="S396" s="402">
        <f t="shared" si="106"/>
        <v>0</v>
      </c>
      <c r="T396" s="404">
        <f t="shared" si="116"/>
        <v>0</v>
      </c>
      <c r="U396" s="403"/>
      <c r="V396" s="144" t="str">
        <f>IF(T394&gt;0,"xx",IF(O394&gt;0,"xy",""))</f>
        <v/>
      </c>
      <c r="W396" s="43" t="str">
        <f t="shared" si="107"/>
        <v/>
      </c>
      <c r="X396" s="43" t="str">
        <f t="shared" si="121"/>
        <v/>
      </c>
      <c r="Y396" s="43" t="str">
        <f t="shared" si="103"/>
        <v/>
      </c>
    </row>
    <row r="397" spans="1:25" ht="13.5" hidden="1" thickBot="1">
      <c r="A397" s="155" t="s">
        <v>183</v>
      </c>
      <c r="B397" s="156"/>
      <c r="C397" s="348" t="s">
        <v>323</v>
      </c>
      <c r="D397" s="157"/>
      <c r="E397" s="405">
        <v>20</v>
      </c>
      <c r="F397" s="406">
        <v>3.44E-2</v>
      </c>
      <c r="G397" s="412">
        <f>IF(E397&lt;=30,(0.6*E397+1.25)*F397,((0.6*30+1.25)+0.5*(E397-30))*F397)</f>
        <v>0.45579999999999998</v>
      </c>
      <c r="H397" s="465"/>
      <c r="I397" s="465" t="str">
        <f t="shared" si="118"/>
        <v/>
      </c>
      <c r="J397" s="407">
        <f>IF(ISBLANK(H397),0,IF(ROUND(I397*(1+$E$10)*(1-$E$11),2)&lt;37,37,ROUND(I397*(1+$E$10)*(1-$E$11),2)))</f>
        <v>0</v>
      </c>
      <c r="K397" s="394" t="s">
        <v>1029</v>
      </c>
      <c r="L397" s="152">
        <v>0</v>
      </c>
      <c r="M397" s="213"/>
      <c r="N397" s="402">
        <f t="shared" si="104"/>
        <v>0</v>
      </c>
      <c r="O397" s="402">
        <f t="shared" si="105"/>
        <v>0</v>
      </c>
      <c r="P397" s="403"/>
      <c r="Q397" s="212"/>
      <c r="R397" s="213"/>
      <c r="S397" s="402">
        <f t="shared" si="106"/>
        <v>0</v>
      </c>
      <c r="T397" s="404">
        <f t="shared" si="116"/>
        <v>0</v>
      </c>
      <c r="U397" s="403"/>
      <c r="V397" s="144" t="str">
        <f>IF(T394&gt;0,"xx",IF(O394&gt;0,"xy",""))</f>
        <v/>
      </c>
      <c r="W397" s="43" t="str">
        <f t="shared" si="107"/>
        <v/>
      </c>
      <c r="X397" s="43" t="str">
        <f t="shared" si="121"/>
        <v/>
      </c>
      <c r="Y397" s="43" t="str">
        <f t="shared" si="103"/>
        <v/>
      </c>
    </row>
    <row r="398" spans="1:25" ht="13.5" hidden="1" thickBot="1">
      <c r="A398" s="155">
        <v>810650</v>
      </c>
      <c r="B398" s="156" t="s">
        <v>242</v>
      </c>
      <c r="C398" s="411" t="s">
        <v>356</v>
      </c>
      <c r="D398" s="351"/>
      <c r="E398" s="405">
        <v>10</v>
      </c>
      <c r="F398" s="406">
        <v>7.2599999999999998E-2</v>
      </c>
      <c r="G398" s="412">
        <f>IF(E398&lt;=30,(0.6*E398+1.25)*F398,((0.6*30+1.25)+0.5*(E398-30))*F398)</f>
        <v>0.52634999999999998</v>
      </c>
      <c r="H398" s="465">
        <v>28.7</v>
      </c>
      <c r="I398" s="465">
        <f t="shared" ref="I398" si="123">IF(ISBLANK(H398),"",SUM(G398:H398))</f>
        <v>29.22635</v>
      </c>
      <c r="J398" s="407">
        <f t="shared" ref="J398:J399" si="124">IF(ISBLANK(H398),0,ROUND(I398*(1+$E$10)*(1+$E$11*D398),2))</f>
        <v>37.06</v>
      </c>
      <c r="K398" s="408" t="s">
        <v>20</v>
      </c>
      <c r="L398" s="152">
        <v>0</v>
      </c>
      <c r="M398" s="152"/>
      <c r="N398" s="402">
        <f t="shared" si="104"/>
        <v>0</v>
      </c>
      <c r="O398" s="402">
        <f t="shared" si="105"/>
        <v>0</v>
      </c>
      <c r="P398" s="403"/>
      <c r="Q398" s="152">
        <f t="shared" si="102"/>
        <v>0</v>
      </c>
      <c r="R398" s="152">
        <f t="shared" si="102"/>
        <v>0</v>
      </c>
      <c r="S398" s="402">
        <f t="shared" si="106"/>
        <v>0</v>
      </c>
      <c r="T398" s="404">
        <f t="shared" si="116"/>
        <v>0</v>
      </c>
      <c r="U398" s="403"/>
      <c r="W398" s="43" t="str">
        <f t="shared" si="107"/>
        <v/>
      </c>
      <c r="X398" s="43" t="str">
        <f t="shared" si="121"/>
        <v/>
      </c>
      <c r="Y398" s="43" t="str">
        <f t="shared" si="103"/>
        <v/>
      </c>
    </row>
    <row r="399" spans="1:25" ht="13.5" hidden="1" thickBot="1">
      <c r="A399" s="155">
        <v>810300</v>
      </c>
      <c r="B399" s="156" t="s">
        <v>242</v>
      </c>
      <c r="C399" s="411" t="s">
        <v>357</v>
      </c>
      <c r="D399" s="351"/>
      <c r="E399" s="405"/>
      <c r="F399" s="406"/>
      <c r="G399" s="158">
        <f>SUM(G400:G402)</f>
        <v>5.2340549999999997</v>
      </c>
      <c r="H399" s="465">
        <v>15.7</v>
      </c>
      <c r="I399" s="465">
        <f t="shared" si="118"/>
        <v>20.934055000000001</v>
      </c>
      <c r="J399" s="407">
        <f t="shared" si="124"/>
        <v>26.54</v>
      </c>
      <c r="K399" s="408" t="s">
        <v>20</v>
      </c>
      <c r="L399" s="152">
        <v>0</v>
      </c>
      <c r="M399" s="152"/>
      <c r="N399" s="402">
        <f t="shared" si="104"/>
        <v>0</v>
      </c>
      <c r="O399" s="402">
        <f t="shared" si="105"/>
        <v>0</v>
      </c>
      <c r="P399" s="403"/>
      <c r="Q399" s="152">
        <f t="shared" si="102"/>
        <v>0</v>
      </c>
      <c r="R399" s="152">
        <f t="shared" si="102"/>
        <v>0</v>
      </c>
      <c r="S399" s="402">
        <f t="shared" si="106"/>
        <v>0</v>
      </c>
      <c r="T399" s="404">
        <f t="shared" si="116"/>
        <v>0</v>
      </c>
      <c r="U399" s="403"/>
      <c r="W399" s="43" t="str">
        <f t="shared" si="107"/>
        <v/>
      </c>
      <c r="X399" s="43" t="str">
        <f t="shared" si="121"/>
        <v/>
      </c>
      <c r="Y399" s="43" t="str">
        <f t="shared" si="103"/>
        <v/>
      </c>
    </row>
    <row r="400" spans="1:25" ht="13.5" hidden="1" thickBot="1">
      <c r="A400" s="155" t="s">
        <v>183</v>
      </c>
      <c r="B400" s="156"/>
      <c r="C400" s="348" t="s">
        <v>251</v>
      </c>
      <c r="D400" s="157"/>
      <c r="E400" s="405">
        <v>500</v>
      </c>
      <c r="F400" s="406">
        <v>9.1999999999999998E-3</v>
      </c>
      <c r="G400" s="158">
        <f>IF(E400&lt;=30,(0.42*E400+3.55)*F400,((0.42*30+3.55)+0.35*(E400-30))*F400)</f>
        <v>1.66198</v>
      </c>
      <c r="H400" s="465"/>
      <c r="I400" s="465" t="str">
        <f t="shared" si="118"/>
        <v/>
      </c>
      <c r="J400" s="407"/>
      <c r="K400" s="394" t="s">
        <v>1029</v>
      </c>
      <c r="L400" s="152">
        <v>0</v>
      </c>
      <c r="M400" s="213"/>
      <c r="N400" s="402">
        <f t="shared" si="104"/>
        <v>0</v>
      </c>
      <c r="O400" s="402">
        <f t="shared" si="105"/>
        <v>0</v>
      </c>
      <c r="P400" s="403"/>
      <c r="Q400" s="212"/>
      <c r="R400" s="213"/>
      <c r="S400" s="402">
        <f t="shared" si="106"/>
        <v>0</v>
      </c>
      <c r="T400" s="404">
        <f t="shared" si="116"/>
        <v>0</v>
      </c>
      <c r="U400" s="403"/>
      <c r="V400" s="144" t="str">
        <f>IF(T399&gt;0,"xx",IF(O399&gt;0,"xy",""))</f>
        <v/>
      </c>
      <c r="W400" s="43" t="str">
        <f t="shared" si="107"/>
        <v/>
      </c>
      <c r="X400" s="43" t="str">
        <f t="shared" si="121"/>
        <v/>
      </c>
      <c r="Y400" s="43" t="str">
        <f t="shared" si="103"/>
        <v/>
      </c>
    </row>
    <row r="401" spans="1:25" ht="13.5" hidden="1" thickBot="1">
      <c r="A401" s="155" t="s">
        <v>183</v>
      </c>
      <c r="B401" s="156"/>
      <c r="C401" s="348" t="s">
        <v>314</v>
      </c>
      <c r="D401" s="157"/>
      <c r="E401" s="405">
        <v>180</v>
      </c>
      <c r="F401" s="406">
        <v>3.2599999999999997E-2</v>
      </c>
      <c r="G401" s="412">
        <f>IF(E401&lt;=30,(0.6*E401+1.25)*F401,((0.6*30+1.25)+0.5*(E401-30))*F401)</f>
        <v>3.0725499999999997</v>
      </c>
      <c r="H401" s="465"/>
      <c r="I401" s="465" t="str">
        <f t="shared" si="118"/>
        <v/>
      </c>
      <c r="J401" s="407">
        <f>IF(ISBLANK(H401),0,IF(ROUND(I401*(1+$E$10)*(1-$E$11),2)&lt;37,37,ROUND(I401*(1+$E$10)*(1-$E$11),2)))</f>
        <v>0</v>
      </c>
      <c r="K401" s="394" t="s">
        <v>1029</v>
      </c>
      <c r="L401" s="152">
        <v>0</v>
      </c>
      <c r="M401" s="213"/>
      <c r="N401" s="402">
        <f t="shared" si="104"/>
        <v>0</v>
      </c>
      <c r="O401" s="402">
        <f t="shared" si="105"/>
        <v>0</v>
      </c>
      <c r="P401" s="403"/>
      <c r="Q401" s="212"/>
      <c r="R401" s="213"/>
      <c r="S401" s="402">
        <f t="shared" si="106"/>
        <v>0</v>
      </c>
      <c r="T401" s="404">
        <f t="shared" si="116"/>
        <v>0</v>
      </c>
      <c r="U401" s="403"/>
      <c r="V401" s="144" t="str">
        <f>IF(T399&gt;0,"xx",IF(O399&gt;0,"xy",""))</f>
        <v/>
      </c>
      <c r="W401" s="43" t="str">
        <f t="shared" si="107"/>
        <v/>
      </c>
      <c r="X401" s="43" t="str">
        <f t="shared" si="121"/>
        <v/>
      </c>
      <c r="Y401" s="43" t="str">
        <f t="shared" si="103"/>
        <v/>
      </c>
    </row>
    <row r="402" spans="1:25" ht="13.5" hidden="1" thickBot="1">
      <c r="A402" s="155" t="s">
        <v>183</v>
      </c>
      <c r="B402" s="156"/>
      <c r="C402" s="348" t="s">
        <v>323</v>
      </c>
      <c r="D402" s="157"/>
      <c r="E402" s="405">
        <v>20</v>
      </c>
      <c r="F402" s="406">
        <v>3.7699999999999997E-2</v>
      </c>
      <c r="G402" s="412">
        <f>IF(E402&lt;=30,(0.6*E402+1.25)*F402,((0.6*30+1.25)+0.5*(E402-30))*F402)</f>
        <v>0.49952499999999994</v>
      </c>
      <c r="H402" s="465"/>
      <c r="I402" s="465" t="str">
        <f t="shared" si="118"/>
        <v/>
      </c>
      <c r="J402" s="407">
        <f>IF(ISBLANK(H402),0,IF(ROUND(I402*(1+$E$10)*(1-$E$11),2)&lt;37,37,ROUND(I402*(1+$E$10)*(1-$E$11),2)))</f>
        <v>0</v>
      </c>
      <c r="K402" s="394" t="s">
        <v>1029</v>
      </c>
      <c r="L402" s="152">
        <v>0</v>
      </c>
      <c r="M402" s="213"/>
      <c r="N402" s="402">
        <f t="shared" si="104"/>
        <v>0</v>
      </c>
      <c r="O402" s="402">
        <f t="shared" si="105"/>
        <v>0</v>
      </c>
      <c r="P402" s="403"/>
      <c r="Q402" s="212"/>
      <c r="R402" s="213"/>
      <c r="S402" s="402">
        <f t="shared" si="106"/>
        <v>0</v>
      </c>
      <c r="T402" s="404">
        <f t="shared" si="116"/>
        <v>0</v>
      </c>
      <c r="U402" s="403"/>
      <c r="V402" s="144" t="str">
        <f>IF(T399&gt;0,"xx",IF(O399&gt;0,"xy",""))</f>
        <v/>
      </c>
      <c r="W402" s="43" t="str">
        <f t="shared" si="107"/>
        <v/>
      </c>
      <c r="X402" s="43" t="str">
        <f t="shared" si="121"/>
        <v/>
      </c>
      <c r="Y402" s="43" t="str">
        <f t="shared" si="103"/>
        <v/>
      </c>
    </row>
    <row r="403" spans="1:25" ht="13.5" hidden="1" thickBot="1">
      <c r="A403" s="155">
        <v>810250</v>
      </c>
      <c r="B403" s="156" t="s">
        <v>242</v>
      </c>
      <c r="C403" s="411" t="s">
        <v>358</v>
      </c>
      <c r="D403" s="351"/>
      <c r="E403" s="405">
        <v>10</v>
      </c>
      <c r="F403" s="406">
        <v>7.9500000000000001E-2</v>
      </c>
      <c r="G403" s="412">
        <f>IF(E403&lt;=30,(0.6*E403+1.25)*F403,((0.6*30+1.25)+0.5*(E403-30))*F403)</f>
        <v>0.57637499999999997</v>
      </c>
      <c r="H403" s="465">
        <v>28.049999999999997</v>
      </c>
      <c r="I403" s="465">
        <f t="shared" si="118"/>
        <v>28.626374999999996</v>
      </c>
      <c r="J403" s="407">
        <f t="shared" ref="J403:J404" si="125">IF(ISBLANK(H403),0,ROUND(I403*(1+$E$10)*(1+$E$11*D403),2))</f>
        <v>36.299999999999997</v>
      </c>
      <c r="K403" s="408" t="s">
        <v>20</v>
      </c>
      <c r="L403" s="152">
        <v>0</v>
      </c>
      <c r="M403" s="152"/>
      <c r="N403" s="402">
        <f t="shared" si="104"/>
        <v>0</v>
      </c>
      <c r="O403" s="402">
        <f t="shared" si="105"/>
        <v>0</v>
      </c>
      <c r="P403" s="403"/>
      <c r="Q403" s="152">
        <f t="shared" si="102"/>
        <v>0</v>
      </c>
      <c r="R403" s="152">
        <f t="shared" si="102"/>
        <v>0</v>
      </c>
      <c r="S403" s="402">
        <f t="shared" si="106"/>
        <v>0</v>
      </c>
      <c r="T403" s="404">
        <f t="shared" si="116"/>
        <v>0</v>
      </c>
      <c r="U403" s="403"/>
      <c r="W403" s="43" t="str">
        <f t="shared" si="107"/>
        <v/>
      </c>
      <c r="X403" s="43" t="str">
        <f t="shared" si="121"/>
        <v/>
      </c>
      <c r="Y403" s="43" t="str">
        <f t="shared" si="103"/>
        <v/>
      </c>
    </row>
    <row r="404" spans="1:25" ht="13.5" hidden="1" thickBot="1">
      <c r="A404" s="155">
        <v>810400</v>
      </c>
      <c r="B404" s="156" t="s">
        <v>242</v>
      </c>
      <c r="C404" s="411" t="s">
        <v>359</v>
      </c>
      <c r="D404" s="351"/>
      <c r="E404" s="405"/>
      <c r="F404" s="406"/>
      <c r="G404" s="158">
        <f>SUM(G405:G407)</f>
        <v>11.075959999999998</v>
      </c>
      <c r="H404" s="465">
        <v>29.080000000000002</v>
      </c>
      <c r="I404" s="465">
        <f t="shared" si="118"/>
        <v>40.15596</v>
      </c>
      <c r="J404" s="407">
        <f t="shared" si="125"/>
        <v>50.92</v>
      </c>
      <c r="K404" s="408" t="s">
        <v>20</v>
      </c>
      <c r="L404" s="152">
        <v>0</v>
      </c>
      <c r="M404" s="152"/>
      <c r="N404" s="402">
        <f t="shared" si="104"/>
        <v>0</v>
      </c>
      <c r="O404" s="402">
        <f t="shared" si="105"/>
        <v>0</v>
      </c>
      <c r="P404" s="403"/>
      <c r="Q404" s="152">
        <f t="shared" si="102"/>
        <v>0</v>
      </c>
      <c r="R404" s="152">
        <f t="shared" si="102"/>
        <v>0</v>
      </c>
      <c r="S404" s="402">
        <f t="shared" si="106"/>
        <v>0</v>
      </c>
      <c r="T404" s="404">
        <f t="shared" si="116"/>
        <v>0</v>
      </c>
      <c r="U404" s="403"/>
      <c r="W404" s="43" t="str">
        <f t="shared" si="107"/>
        <v/>
      </c>
      <c r="X404" s="43" t="str">
        <f t="shared" si="121"/>
        <v/>
      </c>
      <c r="Y404" s="43" t="str">
        <f t="shared" si="103"/>
        <v/>
      </c>
    </row>
    <row r="405" spans="1:25" ht="13.5" hidden="1" thickBot="1">
      <c r="A405" s="155" t="s">
        <v>183</v>
      </c>
      <c r="B405" s="156"/>
      <c r="C405" s="348" t="s">
        <v>251</v>
      </c>
      <c r="D405" s="157"/>
      <c r="E405" s="405">
        <v>500</v>
      </c>
      <c r="F405" s="406">
        <v>1.9400000000000001E-2</v>
      </c>
      <c r="G405" s="158">
        <f>IF(E405&lt;=30,(0.42*E405+3.55)*F405,((0.42*30+3.55)+0.35*(E405-30))*F405)</f>
        <v>3.50461</v>
      </c>
      <c r="H405" s="465"/>
      <c r="I405" s="465" t="str">
        <f t="shared" si="118"/>
        <v/>
      </c>
      <c r="J405" s="407"/>
      <c r="K405" s="394" t="s">
        <v>1029</v>
      </c>
      <c r="L405" s="152">
        <v>0</v>
      </c>
      <c r="M405" s="213"/>
      <c r="N405" s="402">
        <f t="shared" si="104"/>
        <v>0</v>
      </c>
      <c r="O405" s="402">
        <f t="shared" si="105"/>
        <v>0</v>
      </c>
      <c r="P405" s="403"/>
      <c r="Q405" s="212"/>
      <c r="R405" s="213"/>
      <c r="S405" s="402">
        <f t="shared" si="106"/>
        <v>0</v>
      </c>
      <c r="T405" s="404">
        <f t="shared" si="116"/>
        <v>0</v>
      </c>
      <c r="U405" s="403"/>
      <c r="V405" s="144" t="str">
        <f>IF(T404&gt;0,"xx",IF(O404&gt;0,"xy",""))</f>
        <v/>
      </c>
      <c r="W405" s="43" t="str">
        <f t="shared" si="107"/>
        <v/>
      </c>
      <c r="X405" s="43" t="str">
        <f t="shared" si="121"/>
        <v/>
      </c>
      <c r="Y405" s="43" t="str">
        <f t="shared" si="103"/>
        <v/>
      </c>
    </row>
    <row r="406" spans="1:25" ht="13.5" hidden="1" thickBot="1">
      <c r="A406" s="155" t="s">
        <v>183</v>
      </c>
      <c r="B406" s="156"/>
      <c r="C406" s="348" t="s">
        <v>314</v>
      </c>
      <c r="D406" s="157"/>
      <c r="E406" s="405">
        <v>180</v>
      </c>
      <c r="F406" s="406">
        <v>6.9099999999999995E-2</v>
      </c>
      <c r="G406" s="412">
        <f>IF(E406&lt;=30,(0.6*E406+1.25)*F406,((0.6*30+1.25)+0.5*(E406-30))*F406)</f>
        <v>6.5126749999999998</v>
      </c>
      <c r="H406" s="465"/>
      <c r="I406" s="465" t="str">
        <f t="shared" si="118"/>
        <v/>
      </c>
      <c r="J406" s="407">
        <f>IF(ISBLANK(H406),0,ROUND(I406*(1+$E$10)*(1-$E$11*#REF!),2))</f>
        <v>0</v>
      </c>
      <c r="K406" s="394" t="s">
        <v>1029</v>
      </c>
      <c r="L406" s="152">
        <v>0</v>
      </c>
      <c r="M406" s="213"/>
      <c r="N406" s="402">
        <f t="shared" si="104"/>
        <v>0</v>
      </c>
      <c r="O406" s="402">
        <f t="shared" si="105"/>
        <v>0</v>
      </c>
      <c r="P406" s="403"/>
      <c r="Q406" s="212"/>
      <c r="R406" s="213"/>
      <c r="S406" s="402">
        <f t="shared" si="106"/>
        <v>0</v>
      </c>
      <c r="T406" s="404">
        <f t="shared" si="116"/>
        <v>0</v>
      </c>
      <c r="U406" s="403"/>
      <c r="V406" s="144" t="str">
        <f>IF(T404&gt;0,"xx",IF(O404&gt;0,"xy",""))</f>
        <v/>
      </c>
      <c r="W406" s="43" t="str">
        <f t="shared" si="107"/>
        <v/>
      </c>
      <c r="X406" s="43" t="str">
        <f t="shared" si="121"/>
        <v/>
      </c>
      <c r="Y406" s="43" t="str">
        <f t="shared" si="103"/>
        <v/>
      </c>
    </row>
    <row r="407" spans="1:25" ht="13.5" hidden="1" thickBot="1">
      <c r="A407" s="155" t="s">
        <v>183</v>
      </c>
      <c r="B407" s="156"/>
      <c r="C407" s="348" t="s">
        <v>323</v>
      </c>
      <c r="D407" s="157"/>
      <c r="E407" s="405">
        <v>20</v>
      </c>
      <c r="F407" s="406">
        <v>7.9899999999999999E-2</v>
      </c>
      <c r="G407" s="412">
        <f>IF(E407&lt;=30,(0.6*E407+1.25)*F407,((0.6*30+1.25)+0.5*(E407-30))*F407)</f>
        <v>1.058675</v>
      </c>
      <c r="H407" s="465"/>
      <c r="I407" s="465" t="str">
        <f t="shared" si="118"/>
        <v/>
      </c>
      <c r="J407" s="407">
        <f>IF(ISBLANK(H407),0,ROUND(I407*(1+$E$10)*(1-$E$11*#REF!),2))</f>
        <v>0</v>
      </c>
      <c r="K407" s="394" t="s">
        <v>1029</v>
      </c>
      <c r="L407" s="152">
        <v>0</v>
      </c>
      <c r="M407" s="213"/>
      <c r="N407" s="402">
        <f t="shared" si="104"/>
        <v>0</v>
      </c>
      <c r="O407" s="402">
        <f t="shared" si="105"/>
        <v>0</v>
      </c>
      <c r="P407" s="403"/>
      <c r="Q407" s="212"/>
      <c r="R407" s="213"/>
      <c r="S407" s="402">
        <f t="shared" si="106"/>
        <v>0</v>
      </c>
      <c r="T407" s="404">
        <f t="shared" si="116"/>
        <v>0</v>
      </c>
      <c r="U407" s="403"/>
      <c r="V407" s="144" t="str">
        <f>IF(T404&gt;0,"xx",IF(O404&gt;0,"xy",""))</f>
        <v/>
      </c>
      <c r="W407" s="43" t="str">
        <f t="shared" si="107"/>
        <v/>
      </c>
      <c r="X407" s="43" t="str">
        <f t="shared" si="121"/>
        <v/>
      </c>
      <c r="Y407" s="43" t="str">
        <f t="shared" si="103"/>
        <v/>
      </c>
    </row>
    <row r="408" spans="1:25" ht="13.5" hidden="1" thickBot="1">
      <c r="A408" s="155">
        <v>810350</v>
      </c>
      <c r="B408" s="156" t="s">
        <v>242</v>
      </c>
      <c r="C408" s="411" t="s">
        <v>360</v>
      </c>
      <c r="D408" s="351"/>
      <c r="E408" s="405">
        <v>10</v>
      </c>
      <c r="F408" s="406">
        <v>0.16839999999999999</v>
      </c>
      <c r="G408" s="412">
        <f>IF(E408&lt;=30,(0.6*E408+1.25)*F408,((0.6*30+1.25)+0.5*(E408-30))*F408)</f>
        <v>1.2208999999999999</v>
      </c>
      <c r="H408" s="465">
        <v>45.010000000000005</v>
      </c>
      <c r="I408" s="465">
        <f t="shared" ref="I408" si="126">IF(ISBLANK(H408),"",SUM(G408:H408))</f>
        <v>46.230900000000005</v>
      </c>
      <c r="J408" s="407">
        <f t="shared" ref="J408" si="127">IF(ISBLANK(H408),0,ROUND(I408*(1+$E$10)*(1+$E$11*D408),2))</f>
        <v>58.62</v>
      </c>
      <c r="K408" s="408" t="s">
        <v>20</v>
      </c>
      <c r="L408" s="152">
        <v>0</v>
      </c>
      <c r="M408" s="204"/>
      <c r="N408" s="402">
        <f t="shared" si="104"/>
        <v>0</v>
      </c>
      <c r="O408" s="404">
        <f t="shared" si="105"/>
        <v>0</v>
      </c>
      <c r="P408" s="403"/>
      <c r="Q408" s="205">
        <f t="shared" si="102"/>
        <v>0</v>
      </c>
      <c r="R408" s="204">
        <f t="shared" si="102"/>
        <v>0</v>
      </c>
      <c r="S408" s="402">
        <f t="shared" si="106"/>
        <v>0</v>
      </c>
      <c r="T408" s="404">
        <f t="shared" si="116"/>
        <v>0</v>
      </c>
      <c r="U408" s="403"/>
      <c r="W408" s="43" t="str">
        <f t="shared" si="107"/>
        <v/>
      </c>
      <c r="X408" s="43" t="str">
        <f t="shared" si="121"/>
        <v/>
      </c>
      <c r="Y408" s="43" t="str">
        <f t="shared" ref="Y408:Y471" si="128">IF(V408="X","x",IF(T408&gt;0,"x",""))</f>
        <v/>
      </c>
    </row>
    <row r="409" spans="1:25" ht="13.5" hidden="1" thickBot="1">
      <c r="A409" s="400" t="s">
        <v>217</v>
      </c>
      <c r="B409" s="206"/>
      <c r="C409" s="344" t="s">
        <v>282</v>
      </c>
      <c r="D409" s="185"/>
      <c r="E409" s="207"/>
      <c r="F409" s="208"/>
      <c r="G409" s="209"/>
      <c r="H409" s="210"/>
      <c r="I409" s="210"/>
      <c r="J409" s="210"/>
      <c r="K409" s="210" t="s">
        <v>1029</v>
      </c>
      <c r="L409" s="152">
        <v>0</v>
      </c>
      <c r="M409" s="210"/>
      <c r="N409" s="210"/>
      <c r="O409" s="211"/>
      <c r="P409" s="403"/>
      <c r="Q409" s="209"/>
      <c r="R409" s="210"/>
      <c r="S409" s="210"/>
      <c r="T409" s="211"/>
      <c r="U409" s="403"/>
      <c r="V409" s="144" t="str">
        <f>IF(OR(SUM(O410:O434)&gt;0,SUM(T410:T434)&gt;0),"y","")</f>
        <v/>
      </c>
      <c r="W409" s="43" t="str">
        <f t="shared" si="107"/>
        <v/>
      </c>
      <c r="X409" s="43" t="str">
        <f t="shared" si="121"/>
        <v/>
      </c>
      <c r="Y409" s="43" t="str">
        <f t="shared" si="128"/>
        <v/>
      </c>
    </row>
    <row r="410" spans="1:25" ht="13.5" hidden="1" thickBot="1">
      <c r="A410" s="397" t="s">
        <v>217</v>
      </c>
      <c r="B410" s="165" t="s">
        <v>217</v>
      </c>
      <c r="C410" s="203"/>
      <c r="D410" s="167"/>
      <c r="E410" s="168"/>
      <c r="F410" s="169"/>
      <c r="G410" s="170"/>
      <c r="H410" s="171"/>
      <c r="I410" s="452"/>
      <c r="J410" s="453">
        <f t="shared" ref="J410:J434" si="129">IF(ISBLANK(I410),0,ROUND(I410*(1+$E$10)*(1+$E$11*D410),2))</f>
        <v>0</v>
      </c>
      <c r="K410" s="392" t="s">
        <v>1029</v>
      </c>
      <c r="L410" s="152">
        <v>0</v>
      </c>
      <c r="M410" s="204"/>
      <c r="N410" s="402">
        <f t="shared" ref="N410" si="130">IF(ISBLANK(L410),0,ROUND(J410*L410,2))</f>
        <v>0</v>
      </c>
      <c r="O410" s="404">
        <f t="shared" ref="O410:O434" si="131">IF(ISBLANK(M410),0,ROUND(L410*M410,2))</f>
        <v>0</v>
      </c>
      <c r="P410" s="403"/>
      <c r="Q410" s="205">
        <f t="shared" ref="Q410:R434" si="132">L410</f>
        <v>0</v>
      </c>
      <c r="R410" s="204">
        <f t="shared" si="132"/>
        <v>0</v>
      </c>
      <c r="S410" s="402">
        <f t="shared" ref="S410:S434" si="133">IF(ISBLANK(Q410),0,ROUND(J410*Q410,2))</f>
        <v>0</v>
      </c>
      <c r="T410" s="404">
        <f t="shared" ref="T410:T434" si="134">IF(ISBLANK(Q410),0,ROUND(Q410*R410,2))</f>
        <v>0</v>
      </c>
      <c r="U410" s="403"/>
      <c r="W410" s="43" t="str">
        <f t="shared" si="107"/>
        <v/>
      </c>
      <c r="X410" s="43" t="str">
        <f t="shared" si="121"/>
        <v/>
      </c>
      <c r="Y410" s="43" t="str">
        <f t="shared" si="128"/>
        <v/>
      </c>
    </row>
    <row r="411" spans="1:25" ht="13.5" hidden="1" thickBot="1">
      <c r="A411" s="397" t="s">
        <v>217</v>
      </c>
      <c r="B411" s="165" t="s">
        <v>217</v>
      </c>
      <c r="C411" s="166"/>
      <c r="D411" s="167"/>
      <c r="E411" s="168"/>
      <c r="F411" s="169"/>
      <c r="G411" s="170"/>
      <c r="H411" s="171"/>
      <c r="I411" s="452"/>
      <c r="J411" s="454">
        <f t="shared" si="129"/>
        <v>0</v>
      </c>
      <c r="K411" s="392" t="s">
        <v>1029</v>
      </c>
      <c r="L411" s="152">
        <v>0</v>
      </c>
      <c r="M411" s="152"/>
      <c r="N411" s="402">
        <f>IF(ISBLANK(L411),0,ROUND(J411*L411,2))</f>
        <v>0</v>
      </c>
      <c r="O411" s="402">
        <f t="shared" si="131"/>
        <v>0</v>
      </c>
      <c r="P411" s="403"/>
      <c r="Q411" s="152">
        <f t="shared" si="132"/>
        <v>0</v>
      </c>
      <c r="R411" s="152">
        <f t="shared" si="132"/>
        <v>0</v>
      </c>
      <c r="S411" s="402">
        <f t="shared" si="133"/>
        <v>0</v>
      </c>
      <c r="T411" s="164">
        <f t="shared" si="134"/>
        <v>0</v>
      </c>
      <c r="U411" s="403"/>
      <c r="W411" s="43" t="str">
        <f t="shared" si="107"/>
        <v/>
      </c>
      <c r="X411" s="43" t="str">
        <f t="shared" si="121"/>
        <v/>
      </c>
      <c r="Y411" s="43" t="str">
        <f t="shared" si="128"/>
        <v/>
      </c>
    </row>
    <row r="412" spans="1:25" ht="13.5" hidden="1" thickBot="1">
      <c r="A412" s="397" t="s">
        <v>217</v>
      </c>
      <c r="B412" s="165" t="s">
        <v>217</v>
      </c>
      <c r="C412" s="166"/>
      <c r="D412" s="167"/>
      <c r="E412" s="168"/>
      <c r="F412" s="169"/>
      <c r="G412" s="170"/>
      <c r="H412" s="171"/>
      <c r="I412" s="452"/>
      <c r="J412" s="454">
        <f t="shared" si="129"/>
        <v>0</v>
      </c>
      <c r="K412" s="392" t="s">
        <v>1029</v>
      </c>
      <c r="L412" s="152">
        <v>0</v>
      </c>
      <c r="M412" s="152"/>
      <c r="N412" s="402">
        <f t="shared" ref="N412:N434" si="135">IF(ISBLANK(L412),0,ROUND(J412*L412,2))</f>
        <v>0</v>
      </c>
      <c r="O412" s="402">
        <f t="shared" si="131"/>
        <v>0</v>
      </c>
      <c r="P412" s="403"/>
      <c r="Q412" s="152">
        <f t="shared" si="132"/>
        <v>0</v>
      </c>
      <c r="R412" s="152">
        <f t="shared" si="132"/>
        <v>0</v>
      </c>
      <c r="S412" s="402">
        <f t="shared" si="133"/>
        <v>0</v>
      </c>
      <c r="T412" s="404">
        <f t="shared" si="134"/>
        <v>0</v>
      </c>
      <c r="U412" s="403"/>
      <c r="W412" s="43" t="str">
        <f t="shared" si="107"/>
        <v/>
      </c>
      <c r="X412" s="43" t="str">
        <f t="shared" si="121"/>
        <v/>
      </c>
      <c r="Y412" s="43" t="str">
        <f t="shared" si="128"/>
        <v/>
      </c>
    </row>
    <row r="413" spans="1:25" ht="13.5" hidden="1" thickBot="1">
      <c r="A413" s="397" t="s">
        <v>217</v>
      </c>
      <c r="B413" s="165" t="s">
        <v>217</v>
      </c>
      <c r="C413" s="166"/>
      <c r="D413" s="167"/>
      <c r="E413" s="168"/>
      <c r="F413" s="169"/>
      <c r="G413" s="170"/>
      <c r="H413" s="171"/>
      <c r="I413" s="452"/>
      <c r="J413" s="454">
        <f t="shared" si="129"/>
        <v>0</v>
      </c>
      <c r="K413" s="392" t="s">
        <v>1029</v>
      </c>
      <c r="L413" s="152">
        <v>0</v>
      </c>
      <c r="M413" s="152"/>
      <c r="N413" s="402">
        <f t="shared" si="135"/>
        <v>0</v>
      </c>
      <c r="O413" s="402">
        <f t="shared" si="131"/>
        <v>0</v>
      </c>
      <c r="P413" s="403"/>
      <c r="Q413" s="152">
        <f t="shared" si="132"/>
        <v>0</v>
      </c>
      <c r="R413" s="152">
        <f t="shared" si="132"/>
        <v>0</v>
      </c>
      <c r="S413" s="402">
        <f t="shared" si="133"/>
        <v>0</v>
      </c>
      <c r="T413" s="404">
        <f t="shared" si="134"/>
        <v>0</v>
      </c>
      <c r="U413" s="403"/>
      <c r="W413" s="43" t="str">
        <f t="shared" si="107"/>
        <v/>
      </c>
      <c r="X413" s="43" t="str">
        <f t="shared" si="121"/>
        <v/>
      </c>
      <c r="Y413" s="43" t="str">
        <f t="shared" si="128"/>
        <v/>
      </c>
    </row>
    <row r="414" spans="1:25" ht="13.5" hidden="1" thickBot="1">
      <c r="A414" s="397" t="s">
        <v>217</v>
      </c>
      <c r="B414" s="165" t="s">
        <v>217</v>
      </c>
      <c r="C414" s="166"/>
      <c r="D414" s="167"/>
      <c r="E414" s="168"/>
      <c r="F414" s="169"/>
      <c r="G414" s="170"/>
      <c r="H414" s="171"/>
      <c r="I414" s="452"/>
      <c r="J414" s="454">
        <f t="shared" si="129"/>
        <v>0</v>
      </c>
      <c r="K414" s="392" t="s">
        <v>1029</v>
      </c>
      <c r="L414" s="152">
        <v>0</v>
      </c>
      <c r="M414" s="152"/>
      <c r="N414" s="402">
        <f t="shared" si="135"/>
        <v>0</v>
      </c>
      <c r="O414" s="402">
        <f t="shared" si="131"/>
        <v>0</v>
      </c>
      <c r="P414" s="403"/>
      <c r="Q414" s="152">
        <f t="shared" si="132"/>
        <v>0</v>
      </c>
      <c r="R414" s="152">
        <f t="shared" si="132"/>
        <v>0</v>
      </c>
      <c r="S414" s="402">
        <f t="shared" si="133"/>
        <v>0</v>
      </c>
      <c r="T414" s="404">
        <f t="shared" si="134"/>
        <v>0</v>
      </c>
      <c r="U414" s="403"/>
      <c r="W414" s="43" t="str">
        <f t="shared" ref="W414:W494" si="136">IF(V414="X","x",IF(V414="xx","x",IF(V414="xy","x",IF(V414="y","x",IF(OR(O414&gt;0,T414&gt;0),"x","")))))</f>
        <v/>
      </c>
      <c r="X414" s="43" t="str">
        <f t="shared" si="121"/>
        <v/>
      </c>
      <c r="Y414" s="43" t="str">
        <f t="shared" si="128"/>
        <v/>
      </c>
    </row>
    <row r="415" spans="1:25" ht="13.5" hidden="1" thickBot="1">
      <c r="A415" s="397" t="s">
        <v>217</v>
      </c>
      <c r="B415" s="165" t="s">
        <v>217</v>
      </c>
      <c r="C415" s="166"/>
      <c r="D415" s="167"/>
      <c r="E415" s="168"/>
      <c r="F415" s="169"/>
      <c r="G415" s="170"/>
      <c r="H415" s="171"/>
      <c r="I415" s="452"/>
      <c r="J415" s="454">
        <f t="shared" si="129"/>
        <v>0</v>
      </c>
      <c r="K415" s="392" t="s">
        <v>1029</v>
      </c>
      <c r="L415" s="152">
        <v>0</v>
      </c>
      <c r="M415" s="152"/>
      <c r="N415" s="402">
        <f t="shared" si="135"/>
        <v>0</v>
      </c>
      <c r="O415" s="402">
        <f t="shared" si="131"/>
        <v>0</v>
      </c>
      <c r="P415" s="403"/>
      <c r="Q415" s="152">
        <f t="shared" si="132"/>
        <v>0</v>
      </c>
      <c r="R415" s="152">
        <f t="shared" si="132"/>
        <v>0</v>
      </c>
      <c r="S415" s="402">
        <f t="shared" si="133"/>
        <v>0</v>
      </c>
      <c r="T415" s="404">
        <f t="shared" si="134"/>
        <v>0</v>
      </c>
      <c r="U415" s="403"/>
      <c r="W415" s="43" t="str">
        <f t="shared" si="136"/>
        <v/>
      </c>
      <c r="X415" s="43" t="str">
        <f t="shared" si="121"/>
        <v/>
      </c>
      <c r="Y415" s="43" t="str">
        <f t="shared" si="128"/>
        <v/>
      </c>
    </row>
    <row r="416" spans="1:25" ht="13.5" hidden="1" thickBot="1">
      <c r="A416" s="397" t="s">
        <v>217</v>
      </c>
      <c r="B416" s="165" t="s">
        <v>217</v>
      </c>
      <c r="C416" s="166"/>
      <c r="D416" s="167"/>
      <c r="E416" s="168"/>
      <c r="F416" s="169"/>
      <c r="G416" s="170"/>
      <c r="H416" s="171"/>
      <c r="I416" s="452"/>
      <c r="J416" s="454">
        <f t="shared" si="129"/>
        <v>0</v>
      </c>
      <c r="K416" s="392" t="s">
        <v>1029</v>
      </c>
      <c r="L416" s="152">
        <v>0</v>
      </c>
      <c r="M416" s="152"/>
      <c r="N416" s="402">
        <f t="shared" si="135"/>
        <v>0</v>
      </c>
      <c r="O416" s="402">
        <f t="shared" si="131"/>
        <v>0</v>
      </c>
      <c r="P416" s="403"/>
      <c r="Q416" s="152">
        <f t="shared" si="132"/>
        <v>0</v>
      </c>
      <c r="R416" s="152">
        <f t="shared" si="132"/>
        <v>0</v>
      </c>
      <c r="S416" s="402">
        <f t="shared" si="133"/>
        <v>0</v>
      </c>
      <c r="T416" s="404">
        <f t="shared" si="134"/>
        <v>0</v>
      </c>
      <c r="U416" s="403"/>
      <c r="W416" s="43" t="str">
        <f t="shared" si="136"/>
        <v/>
      </c>
      <c r="X416" s="43" t="str">
        <f t="shared" si="121"/>
        <v/>
      </c>
      <c r="Y416" s="43" t="str">
        <f t="shared" si="128"/>
        <v/>
      </c>
    </row>
    <row r="417" spans="1:25" ht="13.5" hidden="1" thickBot="1">
      <c r="A417" s="397" t="s">
        <v>217</v>
      </c>
      <c r="B417" s="165" t="s">
        <v>217</v>
      </c>
      <c r="C417" s="166"/>
      <c r="D417" s="167"/>
      <c r="E417" s="168"/>
      <c r="F417" s="169"/>
      <c r="G417" s="170"/>
      <c r="H417" s="171"/>
      <c r="I417" s="452"/>
      <c r="J417" s="454">
        <f t="shared" si="129"/>
        <v>0</v>
      </c>
      <c r="K417" s="392" t="s">
        <v>1029</v>
      </c>
      <c r="L417" s="152">
        <v>0</v>
      </c>
      <c r="M417" s="152"/>
      <c r="N417" s="402">
        <f t="shared" si="135"/>
        <v>0</v>
      </c>
      <c r="O417" s="402">
        <f t="shared" si="131"/>
        <v>0</v>
      </c>
      <c r="P417" s="403"/>
      <c r="Q417" s="152">
        <f t="shared" si="132"/>
        <v>0</v>
      </c>
      <c r="R417" s="152">
        <f t="shared" si="132"/>
        <v>0</v>
      </c>
      <c r="S417" s="402">
        <f t="shared" si="133"/>
        <v>0</v>
      </c>
      <c r="T417" s="404">
        <f t="shared" si="134"/>
        <v>0</v>
      </c>
      <c r="U417" s="403"/>
      <c r="W417" s="43" t="str">
        <f t="shared" si="136"/>
        <v/>
      </c>
      <c r="X417" s="43" t="str">
        <f t="shared" si="121"/>
        <v/>
      </c>
      <c r="Y417" s="43" t="str">
        <f t="shared" si="128"/>
        <v/>
      </c>
    </row>
    <row r="418" spans="1:25" ht="13.5" hidden="1" thickBot="1">
      <c r="A418" s="397" t="s">
        <v>217</v>
      </c>
      <c r="B418" s="165" t="s">
        <v>217</v>
      </c>
      <c r="C418" s="166"/>
      <c r="D418" s="167"/>
      <c r="E418" s="168"/>
      <c r="F418" s="169"/>
      <c r="G418" s="170"/>
      <c r="H418" s="171"/>
      <c r="I418" s="452"/>
      <c r="J418" s="454">
        <f t="shared" si="129"/>
        <v>0</v>
      </c>
      <c r="K418" s="392" t="s">
        <v>1029</v>
      </c>
      <c r="L418" s="152">
        <v>0</v>
      </c>
      <c r="M418" s="152"/>
      <c r="N418" s="402">
        <f t="shared" si="135"/>
        <v>0</v>
      </c>
      <c r="O418" s="402">
        <f t="shared" si="131"/>
        <v>0</v>
      </c>
      <c r="P418" s="403"/>
      <c r="Q418" s="152">
        <f t="shared" si="132"/>
        <v>0</v>
      </c>
      <c r="R418" s="152">
        <f t="shared" si="132"/>
        <v>0</v>
      </c>
      <c r="S418" s="402">
        <f t="shared" si="133"/>
        <v>0</v>
      </c>
      <c r="T418" s="404">
        <f t="shared" si="134"/>
        <v>0</v>
      </c>
      <c r="U418" s="403"/>
      <c r="W418" s="43" t="str">
        <f t="shared" si="136"/>
        <v/>
      </c>
      <c r="X418" s="43" t="str">
        <f t="shared" si="121"/>
        <v/>
      </c>
      <c r="Y418" s="43" t="str">
        <f t="shared" si="128"/>
        <v/>
      </c>
    </row>
    <row r="419" spans="1:25" ht="13.5" hidden="1" thickBot="1">
      <c r="A419" s="397" t="s">
        <v>217</v>
      </c>
      <c r="B419" s="165" t="s">
        <v>217</v>
      </c>
      <c r="C419" s="166"/>
      <c r="D419" s="167"/>
      <c r="E419" s="168"/>
      <c r="F419" s="169"/>
      <c r="G419" s="170"/>
      <c r="H419" s="171"/>
      <c r="I419" s="452"/>
      <c r="J419" s="454">
        <f t="shared" si="129"/>
        <v>0</v>
      </c>
      <c r="K419" s="392" t="s">
        <v>1029</v>
      </c>
      <c r="L419" s="152">
        <v>0</v>
      </c>
      <c r="M419" s="152"/>
      <c r="N419" s="402">
        <f t="shared" si="135"/>
        <v>0</v>
      </c>
      <c r="O419" s="402">
        <f t="shared" si="131"/>
        <v>0</v>
      </c>
      <c r="P419" s="403"/>
      <c r="Q419" s="152">
        <f t="shared" si="132"/>
        <v>0</v>
      </c>
      <c r="R419" s="152">
        <f t="shared" si="132"/>
        <v>0</v>
      </c>
      <c r="S419" s="402">
        <f t="shared" si="133"/>
        <v>0</v>
      </c>
      <c r="T419" s="404">
        <f t="shared" si="134"/>
        <v>0</v>
      </c>
      <c r="U419" s="403"/>
      <c r="W419" s="43" t="str">
        <f t="shared" si="136"/>
        <v/>
      </c>
      <c r="X419" s="43" t="str">
        <f t="shared" si="121"/>
        <v/>
      </c>
      <c r="Y419" s="43" t="str">
        <f t="shared" si="128"/>
        <v/>
      </c>
    </row>
    <row r="420" spans="1:25" ht="13.5" hidden="1" thickBot="1">
      <c r="A420" s="397" t="s">
        <v>217</v>
      </c>
      <c r="B420" s="165" t="s">
        <v>217</v>
      </c>
      <c r="C420" s="166"/>
      <c r="D420" s="167"/>
      <c r="E420" s="168"/>
      <c r="F420" s="169"/>
      <c r="G420" s="170"/>
      <c r="H420" s="171"/>
      <c r="I420" s="452"/>
      <c r="J420" s="454">
        <f t="shared" si="129"/>
        <v>0</v>
      </c>
      <c r="K420" s="392" t="s">
        <v>1029</v>
      </c>
      <c r="L420" s="152">
        <v>0</v>
      </c>
      <c r="M420" s="152"/>
      <c r="N420" s="402">
        <f t="shared" si="135"/>
        <v>0</v>
      </c>
      <c r="O420" s="402">
        <f t="shared" si="131"/>
        <v>0</v>
      </c>
      <c r="P420" s="403"/>
      <c r="Q420" s="152">
        <f t="shared" si="132"/>
        <v>0</v>
      </c>
      <c r="R420" s="152">
        <f t="shared" si="132"/>
        <v>0</v>
      </c>
      <c r="S420" s="402">
        <f t="shared" si="133"/>
        <v>0</v>
      </c>
      <c r="T420" s="404">
        <f t="shared" si="134"/>
        <v>0</v>
      </c>
      <c r="U420" s="403"/>
      <c r="W420" s="43" t="str">
        <f t="shared" si="136"/>
        <v/>
      </c>
      <c r="X420" s="43" t="str">
        <f t="shared" si="121"/>
        <v/>
      </c>
      <c r="Y420" s="43" t="str">
        <f t="shared" si="128"/>
        <v/>
      </c>
    </row>
    <row r="421" spans="1:25" ht="13.5" hidden="1" thickBot="1">
      <c r="A421" s="397" t="s">
        <v>217</v>
      </c>
      <c r="B421" s="165" t="s">
        <v>217</v>
      </c>
      <c r="C421" s="166"/>
      <c r="D421" s="167"/>
      <c r="E421" s="168"/>
      <c r="F421" s="169"/>
      <c r="G421" s="170"/>
      <c r="H421" s="171"/>
      <c r="I421" s="452"/>
      <c r="J421" s="454">
        <f t="shared" si="129"/>
        <v>0</v>
      </c>
      <c r="K421" s="392" t="s">
        <v>1029</v>
      </c>
      <c r="L421" s="152">
        <v>0</v>
      </c>
      <c r="M421" s="152"/>
      <c r="N421" s="402">
        <f t="shared" si="135"/>
        <v>0</v>
      </c>
      <c r="O421" s="402">
        <f t="shared" si="131"/>
        <v>0</v>
      </c>
      <c r="P421" s="403"/>
      <c r="Q421" s="152">
        <f t="shared" si="132"/>
        <v>0</v>
      </c>
      <c r="R421" s="152">
        <f t="shared" si="132"/>
        <v>0</v>
      </c>
      <c r="S421" s="402">
        <f t="shared" si="133"/>
        <v>0</v>
      </c>
      <c r="T421" s="404">
        <f t="shared" si="134"/>
        <v>0</v>
      </c>
      <c r="U421" s="403"/>
      <c r="W421" s="43" t="str">
        <f t="shared" si="136"/>
        <v/>
      </c>
      <c r="X421" s="43" t="str">
        <f t="shared" si="121"/>
        <v/>
      </c>
      <c r="Y421" s="43" t="str">
        <f t="shared" si="128"/>
        <v/>
      </c>
    </row>
    <row r="422" spans="1:25" ht="13.5" hidden="1" thickBot="1">
      <c r="A422" s="397" t="s">
        <v>217</v>
      </c>
      <c r="B422" s="165" t="s">
        <v>217</v>
      </c>
      <c r="C422" s="166"/>
      <c r="D422" s="167"/>
      <c r="E422" s="168"/>
      <c r="F422" s="169"/>
      <c r="G422" s="170"/>
      <c r="H422" s="171"/>
      <c r="I422" s="452"/>
      <c r="J422" s="454">
        <f t="shared" si="129"/>
        <v>0</v>
      </c>
      <c r="K422" s="392" t="s">
        <v>1029</v>
      </c>
      <c r="L422" s="152">
        <v>0</v>
      </c>
      <c r="M422" s="152"/>
      <c r="N422" s="402">
        <f t="shared" si="135"/>
        <v>0</v>
      </c>
      <c r="O422" s="402">
        <f t="shared" si="131"/>
        <v>0</v>
      </c>
      <c r="P422" s="403"/>
      <c r="Q422" s="152">
        <f t="shared" si="132"/>
        <v>0</v>
      </c>
      <c r="R422" s="152">
        <f t="shared" si="132"/>
        <v>0</v>
      </c>
      <c r="S422" s="402">
        <f t="shared" si="133"/>
        <v>0</v>
      </c>
      <c r="T422" s="404">
        <f t="shared" si="134"/>
        <v>0</v>
      </c>
      <c r="U422" s="403"/>
      <c r="W422" s="43" t="str">
        <f t="shared" si="136"/>
        <v/>
      </c>
      <c r="X422" s="43" t="str">
        <f t="shared" si="121"/>
        <v/>
      </c>
      <c r="Y422" s="43" t="str">
        <f t="shared" si="128"/>
        <v/>
      </c>
    </row>
    <row r="423" spans="1:25" ht="13.5" hidden="1" thickBot="1">
      <c r="A423" s="397" t="s">
        <v>217</v>
      </c>
      <c r="B423" s="165" t="s">
        <v>217</v>
      </c>
      <c r="C423" s="166"/>
      <c r="D423" s="167"/>
      <c r="E423" s="168"/>
      <c r="F423" s="169"/>
      <c r="G423" s="170"/>
      <c r="H423" s="171"/>
      <c r="I423" s="452"/>
      <c r="J423" s="454">
        <f t="shared" si="129"/>
        <v>0</v>
      </c>
      <c r="K423" s="392" t="s">
        <v>1029</v>
      </c>
      <c r="L423" s="152">
        <v>0</v>
      </c>
      <c r="M423" s="152"/>
      <c r="N423" s="402">
        <f t="shared" si="135"/>
        <v>0</v>
      </c>
      <c r="O423" s="402">
        <f t="shared" si="131"/>
        <v>0</v>
      </c>
      <c r="P423" s="403"/>
      <c r="Q423" s="152">
        <f t="shared" si="132"/>
        <v>0</v>
      </c>
      <c r="R423" s="152">
        <f t="shared" si="132"/>
        <v>0</v>
      </c>
      <c r="S423" s="402">
        <f t="shared" si="133"/>
        <v>0</v>
      </c>
      <c r="T423" s="404">
        <f t="shared" si="134"/>
        <v>0</v>
      </c>
      <c r="U423" s="403"/>
      <c r="W423" s="43" t="str">
        <f t="shared" si="136"/>
        <v/>
      </c>
      <c r="X423" s="43" t="str">
        <f t="shared" si="121"/>
        <v/>
      </c>
      <c r="Y423" s="43" t="str">
        <f t="shared" si="128"/>
        <v/>
      </c>
    </row>
    <row r="424" spans="1:25" ht="13.5" hidden="1" thickBot="1">
      <c r="A424" s="397" t="s">
        <v>217</v>
      </c>
      <c r="B424" s="165" t="s">
        <v>217</v>
      </c>
      <c r="C424" s="166"/>
      <c r="D424" s="167"/>
      <c r="E424" s="168"/>
      <c r="F424" s="169"/>
      <c r="G424" s="170"/>
      <c r="H424" s="171"/>
      <c r="I424" s="452"/>
      <c r="J424" s="454">
        <f t="shared" si="129"/>
        <v>0</v>
      </c>
      <c r="K424" s="392" t="s">
        <v>1029</v>
      </c>
      <c r="L424" s="152">
        <v>0</v>
      </c>
      <c r="M424" s="152"/>
      <c r="N424" s="402">
        <f t="shared" si="135"/>
        <v>0</v>
      </c>
      <c r="O424" s="402">
        <f t="shared" si="131"/>
        <v>0</v>
      </c>
      <c r="P424" s="403"/>
      <c r="Q424" s="152">
        <f t="shared" si="132"/>
        <v>0</v>
      </c>
      <c r="R424" s="152">
        <f t="shared" si="132"/>
        <v>0</v>
      </c>
      <c r="S424" s="402">
        <f t="shared" si="133"/>
        <v>0</v>
      </c>
      <c r="T424" s="404">
        <f t="shared" si="134"/>
        <v>0</v>
      </c>
      <c r="U424" s="403"/>
      <c r="W424" s="43" t="str">
        <f t="shared" si="136"/>
        <v/>
      </c>
      <c r="X424" s="43" t="str">
        <f t="shared" si="121"/>
        <v/>
      </c>
      <c r="Y424" s="43" t="str">
        <f t="shared" si="128"/>
        <v/>
      </c>
    </row>
    <row r="425" spans="1:25" ht="13.5" hidden="1" thickBot="1">
      <c r="A425" s="397" t="s">
        <v>217</v>
      </c>
      <c r="B425" s="165" t="s">
        <v>217</v>
      </c>
      <c r="C425" s="166"/>
      <c r="D425" s="167"/>
      <c r="E425" s="168"/>
      <c r="F425" s="169"/>
      <c r="G425" s="170"/>
      <c r="H425" s="171"/>
      <c r="I425" s="452"/>
      <c r="J425" s="454">
        <f t="shared" si="129"/>
        <v>0</v>
      </c>
      <c r="K425" s="392" t="s">
        <v>1029</v>
      </c>
      <c r="L425" s="152">
        <v>0</v>
      </c>
      <c r="M425" s="152"/>
      <c r="N425" s="402">
        <f t="shared" si="135"/>
        <v>0</v>
      </c>
      <c r="O425" s="402">
        <f t="shared" si="131"/>
        <v>0</v>
      </c>
      <c r="P425" s="403"/>
      <c r="Q425" s="152">
        <f t="shared" si="132"/>
        <v>0</v>
      </c>
      <c r="R425" s="152">
        <f t="shared" si="132"/>
        <v>0</v>
      </c>
      <c r="S425" s="402">
        <f t="shared" si="133"/>
        <v>0</v>
      </c>
      <c r="T425" s="404">
        <f t="shared" si="134"/>
        <v>0</v>
      </c>
      <c r="U425" s="403"/>
      <c r="W425" s="43" t="str">
        <f t="shared" si="136"/>
        <v/>
      </c>
      <c r="X425" s="43" t="str">
        <f t="shared" si="121"/>
        <v/>
      </c>
      <c r="Y425" s="43" t="str">
        <f t="shared" si="128"/>
        <v/>
      </c>
    </row>
    <row r="426" spans="1:25" ht="13.5" hidden="1" thickBot="1">
      <c r="A426" s="397" t="s">
        <v>217</v>
      </c>
      <c r="B426" s="165" t="s">
        <v>217</v>
      </c>
      <c r="C426" s="166"/>
      <c r="D426" s="167"/>
      <c r="E426" s="168"/>
      <c r="F426" s="169"/>
      <c r="G426" s="170"/>
      <c r="H426" s="171"/>
      <c r="I426" s="452"/>
      <c r="J426" s="454">
        <f t="shared" si="129"/>
        <v>0</v>
      </c>
      <c r="K426" s="392" t="s">
        <v>1029</v>
      </c>
      <c r="L426" s="152">
        <v>0</v>
      </c>
      <c r="M426" s="152"/>
      <c r="N426" s="402">
        <f t="shared" si="135"/>
        <v>0</v>
      </c>
      <c r="O426" s="402">
        <f t="shared" si="131"/>
        <v>0</v>
      </c>
      <c r="P426" s="403"/>
      <c r="Q426" s="152">
        <f t="shared" si="132"/>
        <v>0</v>
      </c>
      <c r="R426" s="152">
        <f t="shared" si="132"/>
        <v>0</v>
      </c>
      <c r="S426" s="402">
        <f t="shared" si="133"/>
        <v>0</v>
      </c>
      <c r="T426" s="404">
        <f t="shared" si="134"/>
        <v>0</v>
      </c>
      <c r="U426" s="403"/>
      <c r="W426" s="43" t="str">
        <f t="shared" si="136"/>
        <v/>
      </c>
      <c r="X426" s="43" t="str">
        <f t="shared" si="121"/>
        <v/>
      </c>
      <c r="Y426" s="43" t="str">
        <f t="shared" si="128"/>
        <v/>
      </c>
    </row>
    <row r="427" spans="1:25" ht="13.5" hidden="1" thickBot="1">
      <c r="A427" s="397" t="s">
        <v>217</v>
      </c>
      <c r="B427" s="165" t="s">
        <v>217</v>
      </c>
      <c r="C427" s="166"/>
      <c r="D427" s="167"/>
      <c r="E427" s="168"/>
      <c r="F427" s="169"/>
      <c r="G427" s="170"/>
      <c r="H427" s="171"/>
      <c r="I427" s="452"/>
      <c r="J427" s="454">
        <f t="shared" si="129"/>
        <v>0</v>
      </c>
      <c r="K427" s="392" t="s">
        <v>1029</v>
      </c>
      <c r="L427" s="152">
        <v>0</v>
      </c>
      <c r="M427" s="152"/>
      <c r="N427" s="402">
        <f t="shared" si="135"/>
        <v>0</v>
      </c>
      <c r="O427" s="402">
        <f t="shared" si="131"/>
        <v>0</v>
      </c>
      <c r="P427" s="403"/>
      <c r="Q427" s="152">
        <f t="shared" si="132"/>
        <v>0</v>
      </c>
      <c r="R427" s="152">
        <f t="shared" si="132"/>
        <v>0</v>
      </c>
      <c r="S427" s="402">
        <f t="shared" si="133"/>
        <v>0</v>
      </c>
      <c r="T427" s="404">
        <f t="shared" si="134"/>
        <v>0</v>
      </c>
      <c r="U427" s="403"/>
      <c r="W427" s="43" t="str">
        <f t="shared" si="136"/>
        <v/>
      </c>
      <c r="X427" s="43" t="str">
        <f t="shared" si="121"/>
        <v/>
      </c>
      <c r="Y427" s="43" t="str">
        <f t="shared" si="128"/>
        <v/>
      </c>
    </row>
    <row r="428" spans="1:25" ht="13.5" hidden="1" thickBot="1">
      <c r="A428" s="397" t="s">
        <v>217</v>
      </c>
      <c r="B428" s="165" t="s">
        <v>217</v>
      </c>
      <c r="C428" s="166"/>
      <c r="D428" s="167"/>
      <c r="E428" s="168"/>
      <c r="F428" s="169"/>
      <c r="G428" s="170"/>
      <c r="H428" s="171"/>
      <c r="I428" s="452"/>
      <c r="J428" s="454">
        <f t="shared" si="129"/>
        <v>0</v>
      </c>
      <c r="K428" s="392" t="s">
        <v>1029</v>
      </c>
      <c r="L428" s="152">
        <v>0</v>
      </c>
      <c r="M428" s="152"/>
      <c r="N428" s="402">
        <f t="shared" si="135"/>
        <v>0</v>
      </c>
      <c r="O428" s="402">
        <f t="shared" si="131"/>
        <v>0</v>
      </c>
      <c r="P428" s="403"/>
      <c r="Q428" s="152">
        <f t="shared" si="132"/>
        <v>0</v>
      </c>
      <c r="R428" s="152">
        <f t="shared" si="132"/>
        <v>0</v>
      </c>
      <c r="S428" s="402">
        <f t="shared" si="133"/>
        <v>0</v>
      </c>
      <c r="T428" s="404">
        <f t="shared" si="134"/>
        <v>0</v>
      </c>
      <c r="U428" s="403"/>
      <c r="W428" s="43" t="str">
        <f t="shared" si="136"/>
        <v/>
      </c>
      <c r="X428" s="43" t="str">
        <f t="shared" si="121"/>
        <v/>
      </c>
      <c r="Y428" s="43" t="str">
        <f t="shared" si="128"/>
        <v/>
      </c>
    </row>
    <row r="429" spans="1:25" ht="13.5" hidden="1" thickBot="1">
      <c r="A429" s="397" t="s">
        <v>217</v>
      </c>
      <c r="B429" s="165" t="s">
        <v>217</v>
      </c>
      <c r="C429" s="166"/>
      <c r="D429" s="167"/>
      <c r="E429" s="168"/>
      <c r="F429" s="169"/>
      <c r="G429" s="170"/>
      <c r="H429" s="171"/>
      <c r="I429" s="452"/>
      <c r="J429" s="454">
        <f t="shared" si="129"/>
        <v>0</v>
      </c>
      <c r="K429" s="392" t="s">
        <v>1029</v>
      </c>
      <c r="L429" s="152">
        <v>0</v>
      </c>
      <c r="M429" s="152"/>
      <c r="N429" s="402">
        <f t="shared" si="135"/>
        <v>0</v>
      </c>
      <c r="O429" s="402">
        <f t="shared" si="131"/>
        <v>0</v>
      </c>
      <c r="P429" s="403"/>
      <c r="Q429" s="152">
        <f t="shared" si="132"/>
        <v>0</v>
      </c>
      <c r="R429" s="152">
        <f t="shared" si="132"/>
        <v>0</v>
      </c>
      <c r="S429" s="402">
        <f t="shared" si="133"/>
        <v>0</v>
      </c>
      <c r="T429" s="404">
        <f t="shared" si="134"/>
        <v>0</v>
      </c>
      <c r="U429" s="403"/>
      <c r="W429" s="43" t="str">
        <f t="shared" si="136"/>
        <v/>
      </c>
      <c r="X429" s="43" t="str">
        <f t="shared" si="121"/>
        <v/>
      </c>
      <c r="Y429" s="43" t="str">
        <f t="shared" si="128"/>
        <v/>
      </c>
    </row>
    <row r="430" spans="1:25" ht="13.5" hidden="1" thickBot="1">
      <c r="A430" s="397" t="s">
        <v>217</v>
      </c>
      <c r="B430" s="165" t="s">
        <v>217</v>
      </c>
      <c r="C430" s="166"/>
      <c r="D430" s="167"/>
      <c r="E430" s="168"/>
      <c r="F430" s="169"/>
      <c r="G430" s="170"/>
      <c r="H430" s="171"/>
      <c r="I430" s="452"/>
      <c r="J430" s="454">
        <f t="shared" si="129"/>
        <v>0</v>
      </c>
      <c r="K430" s="392" t="s">
        <v>1029</v>
      </c>
      <c r="L430" s="152">
        <v>0</v>
      </c>
      <c r="M430" s="152"/>
      <c r="N430" s="402">
        <f t="shared" si="135"/>
        <v>0</v>
      </c>
      <c r="O430" s="402">
        <f t="shared" si="131"/>
        <v>0</v>
      </c>
      <c r="P430" s="403"/>
      <c r="Q430" s="152">
        <f t="shared" si="132"/>
        <v>0</v>
      </c>
      <c r="R430" s="152">
        <f t="shared" si="132"/>
        <v>0</v>
      </c>
      <c r="S430" s="402">
        <f t="shared" si="133"/>
        <v>0</v>
      </c>
      <c r="T430" s="404">
        <f t="shared" si="134"/>
        <v>0</v>
      </c>
      <c r="U430" s="403"/>
      <c r="W430" s="43" t="str">
        <f t="shared" si="136"/>
        <v/>
      </c>
      <c r="X430" s="43" t="str">
        <f t="shared" si="121"/>
        <v/>
      </c>
      <c r="Y430" s="43" t="str">
        <f t="shared" si="128"/>
        <v/>
      </c>
    </row>
    <row r="431" spans="1:25" ht="13.5" hidden="1" thickBot="1">
      <c r="A431" s="397" t="s">
        <v>217</v>
      </c>
      <c r="B431" s="165" t="s">
        <v>217</v>
      </c>
      <c r="C431" s="166"/>
      <c r="D431" s="167"/>
      <c r="E431" s="168"/>
      <c r="F431" s="169"/>
      <c r="G431" s="170"/>
      <c r="H431" s="171"/>
      <c r="I431" s="452"/>
      <c r="J431" s="454">
        <f t="shared" si="129"/>
        <v>0</v>
      </c>
      <c r="K431" s="392" t="s">
        <v>1029</v>
      </c>
      <c r="L431" s="152">
        <v>0</v>
      </c>
      <c r="M431" s="152"/>
      <c r="N431" s="402">
        <f t="shared" si="135"/>
        <v>0</v>
      </c>
      <c r="O431" s="402">
        <f t="shared" si="131"/>
        <v>0</v>
      </c>
      <c r="P431" s="403"/>
      <c r="Q431" s="152">
        <f t="shared" si="132"/>
        <v>0</v>
      </c>
      <c r="R431" s="152">
        <f t="shared" si="132"/>
        <v>0</v>
      </c>
      <c r="S431" s="402">
        <f t="shared" si="133"/>
        <v>0</v>
      </c>
      <c r="T431" s="404">
        <f t="shared" si="134"/>
        <v>0</v>
      </c>
      <c r="U431" s="403"/>
      <c r="W431" s="43" t="str">
        <f t="shared" si="136"/>
        <v/>
      </c>
      <c r="X431" s="43" t="str">
        <f t="shared" si="121"/>
        <v/>
      </c>
      <c r="Y431" s="43" t="str">
        <f t="shared" si="128"/>
        <v/>
      </c>
    </row>
    <row r="432" spans="1:25" ht="13.5" hidden="1" thickBot="1">
      <c r="A432" s="397" t="s">
        <v>217</v>
      </c>
      <c r="B432" s="165" t="s">
        <v>217</v>
      </c>
      <c r="C432" s="166"/>
      <c r="D432" s="167"/>
      <c r="E432" s="168"/>
      <c r="F432" s="169"/>
      <c r="G432" s="170"/>
      <c r="H432" s="171"/>
      <c r="I432" s="452"/>
      <c r="J432" s="454">
        <f t="shared" si="129"/>
        <v>0</v>
      </c>
      <c r="K432" s="392" t="s">
        <v>1029</v>
      </c>
      <c r="L432" s="152">
        <v>0</v>
      </c>
      <c r="M432" s="152"/>
      <c r="N432" s="402">
        <f t="shared" si="135"/>
        <v>0</v>
      </c>
      <c r="O432" s="402">
        <f t="shared" si="131"/>
        <v>0</v>
      </c>
      <c r="P432" s="403"/>
      <c r="Q432" s="152">
        <f t="shared" si="132"/>
        <v>0</v>
      </c>
      <c r="R432" s="152">
        <f t="shared" si="132"/>
        <v>0</v>
      </c>
      <c r="S432" s="402">
        <f t="shared" si="133"/>
        <v>0</v>
      </c>
      <c r="T432" s="404">
        <f t="shared" si="134"/>
        <v>0</v>
      </c>
      <c r="U432" s="403"/>
      <c r="W432" s="43" t="str">
        <f t="shared" si="136"/>
        <v/>
      </c>
      <c r="X432" s="43" t="str">
        <f t="shared" si="121"/>
        <v/>
      </c>
      <c r="Y432" s="43" t="str">
        <f t="shared" si="128"/>
        <v/>
      </c>
    </row>
    <row r="433" spans="1:25" ht="13.5" hidden="1" thickBot="1">
      <c r="A433" s="397" t="s">
        <v>217</v>
      </c>
      <c r="B433" s="165" t="s">
        <v>217</v>
      </c>
      <c r="C433" s="166"/>
      <c r="D433" s="167"/>
      <c r="E433" s="168"/>
      <c r="F433" s="169"/>
      <c r="G433" s="170"/>
      <c r="H433" s="171"/>
      <c r="I433" s="452"/>
      <c r="J433" s="454">
        <f t="shared" si="129"/>
        <v>0</v>
      </c>
      <c r="K433" s="392" t="s">
        <v>1029</v>
      </c>
      <c r="L433" s="152">
        <v>0</v>
      </c>
      <c r="M433" s="152"/>
      <c r="N433" s="402">
        <f t="shared" si="135"/>
        <v>0</v>
      </c>
      <c r="O433" s="402">
        <f t="shared" si="131"/>
        <v>0</v>
      </c>
      <c r="P433" s="403"/>
      <c r="Q433" s="152">
        <f t="shared" si="132"/>
        <v>0</v>
      </c>
      <c r="R433" s="152">
        <f t="shared" si="132"/>
        <v>0</v>
      </c>
      <c r="S433" s="402">
        <f t="shared" si="133"/>
        <v>0</v>
      </c>
      <c r="T433" s="404">
        <f t="shared" si="134"/>
        <v>0</v>
      </c>
      <c r="U433" s="403"/>
      <c r="W433" s="43" t="str">
        <f t="shared" si="136"/>
        <v/>
      </c>
      <c r="X433" s="43" t="str">
        <f t="shared" si="121"/>
        <v/>
      </c>
      <c r="Y433" s="43" t="str">
        <f t="shared" si="128"/>
        <v/>
      </c>
    </row>
    <row r="434" spans="1:25" ht="13.5" hidden="1" thickBot="1">
      <c r="A434" s="398" t="s">
        <v>217</v>
      </c>
      <c r="B434" s="172" t="s">
        <v>217</v>
      </c>
      <c r="C434" s="173"/>
      <c r="D434" s="174"/>
      <c r="E434" s="175"/>
      <c r="F434" s="176"/>
      <c r="G434" s="177"/>
      <c r="H434" s="178"/>
      <c r="I434" s="455"/>
      <c r="J434" s="456">
        <f t="shared" si="129"/>
        <v>0</v>
      </c>
      <c r="K434" s="393" t="s">
        <v>1029</v>
      </c>
      <c r="L434" s="469">
        <v>0</v>
      </c>
      <c r="M434" s="152"/>
      <c r="N434" s="163">
        <f t="shared" si="135"/>
        <v>0</v>
      </c>
      <c r="O434" s="163">
        <f t="shared" si="131"/>
        <v>0</v>
      </c>
      <c r="P434" s="403"/>
      <c r="Q434" s="152">
        <f t="shared" si="132"/>
        <v>0</v>
      </c>
      <c r="R434" s="152">
        <f t="shared" si="132"/>
        <v>0</v>
      </c>
      <c r="S434" s="163">
        <f t="shared" si="133"/>
        <v>0</v>
      </c>
      <c r="T434" s="179">
        <f t="shared" si="134"/>
        <v>0</v>
      </c>
      <c r="U434" s="403"/>
      <c r="W434" s="43" t="str">
        <f t="shared" si="136"/>
        <v/>
      </c>
      <c r="X434" s="43" t="str">
        <f t="shared" si="121"/>
        <v/>
      </c>
      <c r="Y434" s="43" t="str">
        <f t="shared" si="128"/>
        <v/>
      </c>
    </row>
    <row r="435" spans="1:25" ht="13.5" thickBot="1">
      <c r="A435" s="180" t="s">
        <v>266</v>
      </c>
      <c r="B435" s="181"/>
      <c r="C435" s="346" t="s">
        <v>603</v>
      </c>
      <c r="D435" s="137"/>
      <c r="E435" s="138"/>
      <c r="F435" s="139"/>
      <c r="G435" s="140"/>
      <c r="H435" s="141"/>
      <c r="I435" s="141"/>
      <c r="J435" s="141"/>
      <c r="K435" s="141" t="s">
        <v>1029</v>
      </c>
      <c r="L435" s="470">
        <v>0</v>
      </c>
      <c r="M435" s="141"/>
      <c r="N435" s="141"/>
      <c r="O435" s="142"/>
      <c r="P435" s="143">
        <f>SUM(O436:O589)</f>
        <v>47846.630000000005</v>
      </c>
      <c r="Q435" s="140"/>
      <c r="R435" s="141"/>
      <c r="S435" s="141"/>
      <c r="T435" s="142"/>
      <c r="U435" s="143">
        <f>SUM(T436:T589)</f>
        <v>47846.630000000005</v>
      </c>
      <c r="V435" s="144" t="str">
        <f>IF(OR(P435&gt;0,U435&gt;0),"X","")</f>
        <v>X</v>
      </c>
      <c r="W435" s="43" t="str">
        <f t="shared" si="136"/>
        <v>x</v>
      </c>
      <c r="X435" s="43" t="str">
        <f t="shared" si="121"/>
        <v>x</v>
      </c>
      <c r="Y435" s="43" t="str">
        <f t="shared" si="128"/>
        <v>x</v>
      </c>
    </row>
    <row r="436" spans="1:25" hidden="1">
      <c r="A436" s="155" t="s">
        <v>630</v>
      </c>
      <c r="B436" s="156" t="s">
        <v>242</v>
      </c>
      <c r="C436" s="411" t="s">
        <v>632</v>
      </c>
      <c r="D436" s="351"/>
      <c r="E436" s="405">
        <v>0</v>
      </c>
      <c r="F436" s="406"/>
      <c r="G436" s="158">
        <v>0</v>
      </c>
      <c r="H436" s="465">
        <v>14.107467</v>
      </c>
      <c r="I436" s="465">
        <f>IF(ISBLANK(H436),"",SUM(G436:H436))</f>
        <v>14.107467</v>
      </c>
      <c r="J436" s="407">
        <f t="shared" ref="J436:J499" si="137">IF(ISBLANK(H436),0,ROUND(I436*(1+$E$10)*(1+$E$11*D436),2))</f>
        <v>17.89</v>
      </c>
      <c r="K436" s="408" t="s">
        <v>20</v>
      </c>
      <c r="L436" s="602"/>
      <c r="M436" s="471"/>
      <c r="N436" s="402">
        <f t="shared" ref="N436:N556" si="138">IF(ISBLANK(L436),0,ROUND(J436*L436,2))</f>
        <v>0</v>
      </c>
      <c r="O436" s="402">
        <f t="shared" ref="O436:O556" si="139">IF(ISBLANK(M436),0,ROUND(L436*M436,2))</f>
        <v>0</v>
      </c>
      <c r="P436" s="403"/>
      <c r="Q436" s="152">
        <f t="shared" ref="Q436:R497" si="140">L436</f>
        <v>0</v>
      </c>
      <c r="R436" s="152">
        <f t="shared" si="140"/>
        <v>0</v>
      </c>
      <c r="S436" s="402">
        <f t="shared" ref="S436:S556" si="141">IF(ISBLANK(Q436),0,ROUND(J436*Q436,2))</f>
        <v>0</v>
      </c>
      <c r="T436" s="404">
        <f t="shared" ref="T436:T499" si="142">IF(ISBLANK(Q436),0,ROUND(Q436*R436,2))</f>
        <v>0</v>
      </c>
      <c r="U436" s="403"/>
      <c r="W436" s="43" t="str">
        <f t="shared" si="136"/>
        <v/>
      </c>
      <c r="X436" s="43" t="str">
        <f t="shared" si="121"/>
        <v/>
      </c>
      <c r="Y436" s="43" t="str">
        <f t="shared" si="128"/>
        <v/>
      </c>
    </row>
    <row r="437" spans="1:25" hidden="1">
      <c r="A437" s="155" t="s">
        <v>631</v>
      </c>
      <c r="B437" s="156" t="s">
        <v>242</v>
      </c>
      <c r="C437" s="411" t="s">
        <v>1042</v>
      </c>
      <c r="D437" s="351"/>
      <c r="E437" s="405">
        <v>0</v>
      </c>
      <c r="F437" s="406"/>
      <c r="G437" s="158"/>
      <c r="H437" s="465">
        <v>9.2811839999999997</v>
      </c>
      <c r="I437" s="465">
        <f>IF(ISBLANK(H437),"",SUM(G437:H437))</f>
        <v>9.2811839999999997</v>
      </c>
      <c r="J437" s="407">
        <f t="shared" si="137"/>
        <v>11.77</v>
      </c>
      <c r="K437" s="408" t="s">
        <v>20</v>
      </c>
      <c r="L437" s="152">
        <v>0</v>
      </c>
      <c r="M437" s="152"/>
      <c r="N437" s="402">
        <f t="shared" si="138"/>
        <v>0</v>
      </c>
      <c r="O437" s="402">
        <f t="shared" si="139"/>
        <v>0</v>
      </c>
      <c r="P437" s="403"/>
      <c r="Q437" s="152">
        <f t="shared" si="140"/>
        <v>0</v>
      </c>
      <c r="R437" s="152">
        <f t="shared" si="140"/>
        <v>0</v>
      </c>
      <c r="S437" s="402">
        <f t="shared" si="141"/>
        <v>0</v>
      </c>
      <c r="T437" s="404">
        <f t="shared" si="142"/>
        <v>0</v>
      </c>
      <c r="U437" s="403"/>
      <c r="W437" s="43" t="str">
        <f t="shared" si="136"/>
        <v/>
      </c>
      <c r="X437" s="43" t="str">
        <f t="shared" si="121"/>
        <v/>
      </c>
      <c r="Y437" s="43" t="str">
        <f t="shared" si="128"/>
        <v/>
      </c>
    </row>
    <row r="438" spans="1:25">
      <c r="A438" s="155" t="s">
        <v>633</v>
      </c>
      <c r="B438" s="156" t="s">
        <v>242</v>
      </c>
      <c r="C438" s="411" t="s">
        <v>634</v>
      </c>
      <c r="D438" s="351"/>
      <c r="E438" s="405">
        <v>0</v>
      </c>
      <c r="F438" s="406"/>
      <c r="G438" s="158"/>
      <c r="H438" s="465">
        <v>11.550008249999999</v>
      </c>
      <c r="I438" s="465">
        <f>IF(ISBLANK(H438),"",SUM(G438:H438))</f>
        <v>11.550008249999999</v>
      </c>
      <c r="J438" s="407">
        <f t="shared" si="137"/>
        <v>14.65</v>
      </c>
      <c r="K438" s="408" t="s">
        <v>20</v>
      </c>
      <c r="L438" s="467">
        <v>421.46</v>
      </c>
      <c r="M438" s="152">
        <v>14.65</v>
      </c>
      <c r="N438" s="402">
        <f t="shared" si="138"/>
        <v>6174.39</v>
      </c>
      <c r="O438" s="402">
        <f t="shared" si="139"/>
        <v>6174.39</v>
      </c>
      <c r="P438" s="403"/>
      <c r="Q438" s="152">
        <f t="shared" si="140"/>
        <v>421.46</v>
      </c>
      <c r="R438" s="152">
        <f t="shared" si="140"/>
        <v>14.65</v>
      </c>
      <c r="S438" s="402">
        <f t="shared" si="141"/>
        <v>6174.39</v>
      </c>
      <c r="T438" s="404">
        <f t="shared" si="142"/>
        <v>6174.39</v>
      </c>
      <c r="U438" s="403"/>
      <c r="W438" s="43" t="str">
        <f t="shared" si="136"/>
        <v>x</v>
      </c>
      <c r="X438" s="43" t="str">
        <f t="shared" si="121"/>
        <v>x</v>
      </c>
      <c r="Y438" s="43" t="str">
        <f t="shared" si="128"/>
        <v>x</v>
      </c>
    </row>
    <row r="439" spans="1:25" hidden="1">
      <c r="A439" s="155" t="s">
        <v>624</v>
      </c>
      <c r="B439" s="156" t="s">
        <v>626</v>
      </c>
      <c r="C439" s="411" t="s">
        <v>635</v>
      </c>
      <c r="D439" s="351"/>
      <c r="E439" s="405">
        <v>0</v>
      </c>
      <c r="F439" s="406"/>
      <c r="G439" s="158"/>
      <c r="H439" s="465">
        <v>28.495384615384612</v>
      </c>
      <c r="I439" s="465">
        <f>IF(ISBLANK(H439),"",SUM(G439:H439))</f>
        <v>28.495384615384612</v>
      </c>
      <c r="J439" s="407">
        <f t="shared" si="137"/>
        <v>36.130000000000003</v>
      </c>
      <c r="K439" s="408" t="s">
        <v>20</v>
      </c>
      <c r="L439" s="152">
        <v>0</v>
      </c>
      <c r="M439" s="152"/>
      <c r="N439" s="402">
        <f t="shared" si="138"/>
        <v>0</v>
      </c>
      <c r="O439" s="402">
        <f t="shared" si="139"/>
        <v>0</v>
      </c>
      <c r="P439" s="403"/>
      <c r="Q439" s="152">
        <f t="shared" si="140"/>
        <v>0</v>
      </c>
      <c r="R439" s="152">
        <f t="shared" si="140"/>
        <v>0</v>
      </c>
      <c r="S439" s="402">
        <f t="shared" si="141"/>
        <v>0</v>
      </c>
      <c r="T439" s="404">
        <f t="shared" si="142"/>
        <v>0</v>
      </c>
      <c r="U439" s="403"/>
      <c r="W439" s="43" t="str">
        <f t="shared" si="136"/>
        <v/>
      </c>
      <c r="X439" s="43" t="str">
        <f t="shared" si="121"/>
        <v/>
      </c>
      <c r="Y439" s="43" t="str">
        <f t="shared" si="128"/>
        <v/>
      </c>
    </row>
    <row r="440" spans="1:25" hidden="1">
      <c r="A440" s="155">
        <v>606700</v>
      </c>
      <c r="B440" s="156" t="s">
        <v>242</v>
      </c>
      <c r="C440" s="411" t="s">
        <v>361</v>
      </c>
      <c r="D440" s="351"/>
      <c r="E440" s="405">
        <v>0</v>
      </c>
      <c r="F440" s="406"/>
      <c r="G440" s="158">
        <v>0</v>
      </c>
      <c r="H440" s="465">
        <v>94.29</v>
      </c>
      <c r="I440" s="465">
        <f t="shared" ref="I440:I441" si="143">IF(ISBLANK(H440),"",SUM(G440:H440))</f>
        <v>94.29</v>
      </c>
      <c r="J440" s="407">
        <f t="shared" si="137"/>
        <v>119.56</v>
      </c>
      <c r="K440" s="408" t="s">
        <v>16</v>
      </c>
      <c r="L440" s="152">
        <v>0</v>
      </c>
      <c r="M440" s="152"/>
      <c r="N440" s="402">
        <f t="shared" si="138"/>
        <v>0</v>
      </c>
      <c r="O440" s="402">
        <f t="shared" si="139"/>
        <v>0</v>
      </c>
      <c r="P440" s="403"/>
      <c r="Q440" s="152">
        <f t="shared" si="140"/>
        <v>0</v>
      </c>
      <c r="R440" s="152">
        <f t="shared" si="140"/>
        <v>0</v>
      </c>
      <c r="S440" s="402">
        <f t="shared" si="141"/>
        <v>0</v>
      </c>
      <c r="T440" s="404">
        <f t="shared" si="142"/>
        <v>0</v>
      </c>
      <c r="U440" s="403"/>
      <c r="W440" s="43" t="str">
        <f t="shared" si="136"/>
        <v/>
      </c>
      <c r="X440" s="43" t="str">
        <f t="shared" si="121"/>
        <v/>
      </c>
      <c r="Y440" s="43" t="str">
        <f t="shared" si="128"/>
        <v/>
      </c>
    </row>
    <row r="441" spans="1:25" hidden="1">
      <c r="A441" s="155">
        <v>606600</v>
      </c>
      <c r="B441" s="156" t="s">
        <v>242</v>
      </c>
      <c r="C441" s="411" t="s">
        <v>235</v>
      </c>
      <c r="D441" s="351"/>
      <c r="E441" s="405">
        <v>0</v>
      </c>
      <c r="F441" s="406"/>
      <c r="G441" s="158">
        <v>0</v>
      </c>
      <c r="H441" s="465">
        <v>198.35</v>
      </c>
      <c r="I441" s="465">
        <f t="shared" si="143"/>
        <v>198.35</v>
      </c>
      <c r="J441" s="407">
        <f t="shared" si="137"/>
        <v>251.51</v>
      </c>
      <c r="K441" s="408" t="s">
        <v>16</v>
      </c>
      <c r="L441" s="152">
        <v>0</v>
      </c>
      <c r="M441" s="152"/>
      <c r="N441" s="402">
        <f t="shared" si="138"/>
        <v>0</v>
      </c>
      <c r="O441" s="402">
        <f t="shared" si="139"/>
        <v>0</v>
      </c>
      <c r="P441" s="403"/>
      <c r="Q441" s="152">
        <f t="shared" si="140"/>
        <v>0</v>
      </c>
      <c r="R441" s="152">
        <f t="shared" si="140"/>
        <v>0</v>
      </c>
      <c r="S441" s="402">
        <f t="shared" si="141"/>
        <v>0</v>
      </c>
      <c r="T441" s="404">
        <f t="shared" si="142"/>
        <v>0</v>
      </c>
      <c r="U441" s="403"/>
      <c r="W441" s="43" t="str">
        <f t="shared" si="136"/>
        <v/>
      </c>
      <c r="X441" s="43" t="str">
        <f t="shared" si="121"/>
        <v/>
      </c>
      <c r="Y441" s="43" t="str">
        <f t="shared" si="128"/>
        <v/>
      </c>
    </row>
    <row r="442" spans="1:25">
      <c r="A442" s="155">
        <v>72961</v>
      </c>
      <c r="B442" s="156" t="s">
        <v>241</v>
      </c>
      <c r="C442" s="411" t="s">
        <v>240</v>
      </c>
      <c r="D442" s="351"/>
      <c r="E442" s="405">
        <v>0</v>
      </c>
      <c r="F442" s="406"/>
      <c r="G442" s="158">
        <v>0</v>
      </c>
      <c r="H442" s="465">
        <v>1.19</v>
      </c>
      <c r="I442" s="465">
        <f>IF(ISBLANK(H442),"",SUM(G442:H442))</f>
        <v>1.19</v>
      </c>
      <c r="J442" s="407">
        <f t="shared" si="137"/>
        <v>1.51</v>
      </c>
      <c r="K442" s="408" t="s">
        <v>18</v>
      </c>
      <c r="L442" s="152">
        <v>632.19000000000005</v>
      </c>
      <c r="M442" s="152">
        <v>1.5</v>
      </c>
      <c r="N442" s="402">
        <f t="shared" si="138"/>
        <v>954.61</v>
      </c>
      <c r="O442" s="402">
        <f t="shared" si="139"/>
        <v>948.29</v>
      </c>
      <c r="P442" s="403"/>
      <c r="Q442" s="152">
        <f t="shared" si="140"/>
        <v>632.19000000000005</v>
      </c>
      <c r="R442" s="152">
        <v>1.5</v>
      </c>
      <c r="S442" s="402">
        <f t="shared" si="141"/>
        <v>954.61</v>
      </c>
      <c r="T442" s="404">
        <f t="shared" si="142"/>
        <v>948.29</v>
      </c>
      <c r="U442" s="403"/>
      <c r="V442" s="160" t="s">
        <v>200</v>
      </c>
      <c r="W442" s="43" t="str">
        <f t="shared" si="136"/>
        <v>x</v>
      </c>
      <c r="X442" s="43" t="str">
        <f t="shared" si="121"/>
        <v>x</v>
      </c>
      <c r="Y442" s="43" t="str">
        <f t="shared" si="128"/>
        <v>x</v>
      </c>
    </row>
    <row r="443" spans="1:25" hidden="1">
      <c r="A443" s="155">
        <v>605000</v>
      </c>
      <c r="B443" s="156" t="s">
        <v>242</v>
      </c>
      <c r="C443" s="411" t="s">
        <v>362</v>
      </c>
      <c r="D443" s="351"/>
      <c r="E443" s="405"/>
      <c r="F443" s="406"/>
      <c r="G443" s="158">
        <f>SUM(G444:G446)</f>
        <v>147.12950000000001</v>
      </c>
      <c r="H443" s="465">
        <v>294.37</v>
      </c>
      <c r="I443" s="465">
        <f t="shared" ref="I443:I446" si="144">IF(ISBLANK(H443),"",SUM(G443:H443))</f>
        <v>441.49950000000001</v>
      </c>
      <c r="J443" s="407">
        <f t="shared" si="137"/>
        <v>559.82000000000005</v>
      </c>
      <c r="K443" s="408" t="s">
        <v>16</v>
      </c>
      <c r="L443" s="152">
        <v>0</v>
      </c>
      <c r="M443" s="152"/>
      <c r="N443" s="402">
        <f t="shared" si="138"/>
        <v>0</v>
      </c>
      <c r="O443" s="402">
        <f t="shared" si="139"/>
        <v>0</v>
      </c>
      <c r="P443" s="403"/>
      <c r="Q443" s="152">
        <f t="shared" si="140"/>
        <v>0</v>
      </c>
      <c r="R443" s="152">
        <f t="shared" si="140"/>
        <v>0</v>
      </c>
      <c r="S443" s="402">
        <f t="shared" si="141"/>
        <v>0</v>
      </c>
      <c r="T443" s="404">
        <f t="shared" si="142"/>
        <v>0</v>
      </c>
      <c r="U443" s="403"/>
      <c r="W443" s="43" t="str">
        <f t="shared" si="136"/>
        <v/>
      </c>
      <c r="X443" s="43" t="str">
        <f t="shared" si="121"/>
        <v/>
      </c>
      <c r="Y443" s="43" t="str">
        <f t="shared" si="128"/>
        <v/>
      </c>
    </row>
    <row r="444" spans="1:25" hidden="1">
      <c r="A444" s="155" t="s">
        <v>183</v>
      </c>
      <c r="B444" s="156"/>
      <c r="C444" s="348" t="s">
        <v>251</v>
      </c>
      <c r="D444" s="157"/>
      <c r="E444" s="405">
        <v>500</v>
      </c>
      <c r="F444" s="406">
        <v>0.18</v>
      </c>
      <c r="G444" s="158">
        <f>IF(E444&lt;=30,(0.42*E444+3.55)*F444,((0.42*30+3.55)+0.35*(E444-30))*F444)</f>
        <v>32.517000000000003</v>
      </c>
      <c r="H444" s="465"/>
      <c r="I444" s="465" t="str">
        <f t="shared" si="144"/>
        <v/>
      </c>
      <c r="J444" s="407">
        <f t="shared" si="137"/>
        <v>0</v>
      </c>
      <c r="K444" s="394" t="s">
        <v>1029</v>
      </c>
      <c r="L444" s="152">
        <v>0</v>
      </c>
      <c r="M444" s="213"/>
      <c r="N444" s="402">
        <f t="shared" si="138"/>
        <v>0</v>
      </c>
      <c r="O444" s="402">
        <f t="shared" si="139"/>
        <v>0</v>
      </c>
      <c r="P444" s="403"/>
      <c r="Q444" s="212"/>
      <c r="R444" s="213"/>
      <c r="S444" s="402">
        <f t="shared" si="141"/>
        <v>0</v>
      </c>
      <c r="T444" s="404">
        <f t="shared" si="142"/>
        <v>0</v>
      </c>
      <c r="U444" s="403"/>
      <c r="V444" s="144" t="str">
        <f>IF(T443&gt;0,"xx",IF(O443&gt;0,"xy",""))</f>
        <v/>
      </c>
      <c r="W444" s="43" t="str">
        <f t="shared" si="136"/>
        <v/>
      </c>
      <c r="X444" s="43" t="str">
        <f t="shared" si="121"/>
        <v/>
      </c>
      <c r="Y444" s="43" t="str">
        <f t="shared" si="128"/>
        <v/>
      </c>
    </row>
    <row r="445" spans="1:25" hidden="1">
      <c r="A445" s="155" t="s">
        <v>183</v>
      </c>
      <c r="B445" s="156"/>
      <c r="C445" s="348" t="s">
        <v>314</v>
      </c>
      <c r="D445" s="157"/>
      <c r="E445" s="405">
        <v>180</v>
      </c>
      <c r="F445" s="406">
        <v>1.06</v>
      </c>
      <c r="G445" s="412">
        <f>IF(E445&lt;=30,(0.6*E445+1.25)*F445,((0.6*30+1.25)+0.5*(E445-30))*F445)</f>
        <v>99.905000000000001</v>
      </c>
      <c r="H445" s="465"/>
      <c r="I445" s="465" t="str">
        <f t="shared" si="144"/>
        <v/>
      </c>
      <c r="J445" s="407">
        <f t="shared" si="137"/>
        <v>0</v>
      </c>
      <c r="K445" s="394" t="s">
        <v>1029</v>
      </c>
      <c r="L445" s="152">
        <v>0</v>
      </c>
      <c r="M445" s="213"/>
      <c r="N445" s="402">
        <f t="shared" si="138"/>
        <v>0</v>
      </c>
      <c r="O445" s="402">
        <f t="shared" si="139"/>
        <v>0</v>
      </c>
      <c r="P445" s="403"/>
      <c r="Q445" s="212"/>
      <c r="R445" s="213"/>
      <c r="S445" s="402">
        <f t="shared" si="141"/>
        <v>0</v>
      </c>
      <c r="T445" s="404">
        <f t="shared" si="142"/>
        <v>0</v>
      </c>
      <c r="U445" s="403"/>
      <c r="V445" s="144" t="str">
        <f>IF(T443&gt;0,"xx",IF(O443&gt;0,"xy",""))</f>
        <v/>
      </c>
      <c r="W445" s="43" t="str">
        <f t="shared" si="136"/>
        <v/>
      </c>
      <c r="X445" s="43" t="str">
        <f t="shared" si="121"/>
        <v/>
      </c>
      <c r="Y445" s="43" t="str">
        <f t="shared" si="128"/>
        <v/>
      </c>
    </row>
    <row r="446" spans="1:25" hidden="1">
      <c r="A446" s="155" t="s">
        <v>183</v>
      </c>
      <c r="B446" s="156"/>
      <c r="C446" s="348" t="s">
        <v>323</v>
      </c>
      <c r="D446" s="157"/>
      <c r="E446" s="405">
        <v>20</v>
      </c>
      <c r="F446" s="406">
        <v>1.1100000000000001</v>
      </c>
      <c r="G446" s="412">
        <f>IF(E446&lt;=30,(0.6*E446+1.25)*F446,((0.6*30+1.25)+0.5*(E446-30))*F446)</f>
        <v>14.707500000000001</v>
      </c>
      <c r="H446" s="465"/>
      <c r="I446" s="465" t="str">
        <f t="shared" si="144"/>
        <v/>
      </c>
      <c r="J446" s="407">
        <f t="shared" si="137"/>
        <v>0</v>
      </c>
      <c r="K446" s="394" t="s">
        <v>1029</v>
      </c>
      <c r="L446" s="152">
        <v>0</v>
      </c>
      <c r="M446" s="213"/>
      <c r="N446" s="402">
        <f t="shared" si="138"/>
        <v>0</v>
      </c>
      <c r="O446" s="402">
        <f t="shared" si="139"/>
        <v>0</v>
      </c>
      <c r="P446" s="403"/>
      <c r="Q446" s="212"/>
      <c r="R446" s="213"/>
      <c r="S446" s="402">
        <f t="shared" si="141"/>
        <v>0</v>
      </c>
      <c r="T446" s="404">
        <f t="shared" si="142"/>
        <v>0</v>
      </c>
      <c r="U446" s="403"/>
      <c r="V446" s="144" t="str">
        <f>IF(T443&gt;0,"xx",IF(O443&gt;0,"xy",""))</f>
        <v/>
      </c>
      <c r="W446" s="43" t="str">
        <f t="shared" si="136"/>
        <v/>
      </c>
      <c r="X446" s="43" t="str">
        <f t="shared" si="121"/>
        <v/>
      </c>
      <c r="Y446" s="43" t="str">
        <f t="shared" si="128"/>
        <v/>
      </c>
    </row>
    <row r="447" spans="1:25" hidden="1">
      <c r="A447" s="155">
        <v>532500</v>
      </c>
      <c r="B447" s="156" t="s">
        <v>242</v>
      </c>
      <c r="C447" s="411" t="s">
        <v>363</v>
      </c>
      <c r="D447" s="351"/>
      <c r="E447" s="405">
        <v>20</v>
      </c>
      <c r="F447" s="406">
        <v>1.73</v>
      </c>
      <c r="G447" s="412">
        <f>IF(E447&lt;=30,(0.6*E447+1.25)*F447,((0.6*30+1.25)+0.5*(E447-30))*F447)</f>
        <v>22.922499999999999</v>
      </c>
      <c r="H447" s="465">
        <v>63.64</v>
      </c>
      <c r="I447" s="465">
        <f>IF(ISBLANK(H447),"",SUM(G447:H447))*0.95</f>
        <v>82.234375</v>
      </c>
      <c r="J447" s="407">
        <f t="shared" si="137"/>
        <v>104.27</v>
      </c>
      <c r="K447" s="408" t="s">
        <v>16</v>
      </c>
      <c r="L447" s="152">
        <v>0</v>
      </c>
      <c r="M447" s="152"/>
      <c r="N447" s="402">
        <f t="shared" si="138"/>
        <v>0</v>
      </c>
      <c r="O447" s="402">
        <f t="shared" si="139"/>
        <v>0</v>
      </c>
      <c r="P447" s="403"/>
      <c r="Q447" s="152">
        <f t="shared" si="140"/>
        <v>0</v>
      </c>
      <c r="R447" s="152">
        <f t="shared" si="140"/>
        <v>0</v>
      </c>
      <c r="S447" s="402">
        <f t="shared" si="141"/>
        <v>0</v>
      </c>
      <c r="T447" s="404">
        <f t="shared" si="142"/>
        <v>0</v>
      </c>
      <c r="U447" s="403"/>
      <c r="W447" s="43" t="str">
        <f t="shared" si="136"/>
        <v/>
      </c>
      <c r="X447" s="43" t="str">
        <f t="shared" si="121"/>
        <v/>
      </c>
      <c r="Y447" s="43" t="str">
        <f t="shared" si="128"/>
        <v/>
      </c>
    </row>
    <row r="448" spans="1:25">
      <c r="A448" s="155">
        <v>516000</v>
      </c>
      <c r="B448" s="156" t="s">
        <v>242</v>
      </c>
      <c r="C448" s="468" t="s">
        <v>364</v>
      </c>
      <c r="D448" s="351"/>
      <c r="E448" s="405">
        <v>49</v>
      </c>
      <c r="F448" s="406">
        <v>1.5</v>
      </c>
      <c r="G448" s="412">
        <f>IF(E448&lt;=30,(0.6*E448+1.25)*F448,((0.6*30+1.25)+0.5*(E448-30))*F448)</f>
        <v>43.125</v>
      </c>
      <c r="H448" s="465">
        <v>61.94</v>
      </c>
      <c r="I448" s="465">
        <f>IF(ISBLANK(H448),"",SUM(G448:H448))*0.75</f>
        <v>78.798749999999998</v>
      </c>
      <c r="J448" s="407">
        <f t="shared" si="137"/>
        <v>99.92</v>
      </c>
      <c r="K448" s="408" t="s">
        <v>16</v>
      </c>
      <c r="L448" s="467">
        <f>L442*0.05</f>
        <v>31.609500000000004</v>
      </c>
      <c r="M448" s="152">
        <v>99</v>
      </c>
      <c r="N448" s="402">
        <f t="shared" si="138"/>
        <v>3158.42</v>
      </c>
      <c r="O448" s="402">
        <f t="shared" si="139"/>
        <v>3129.34</v>
      </c>
      <c r="P448" s="403"/>
      <c r="Q448" s="152">
        <f t="shared" si="140"/>
        <v>31.609500000000004</v>
      </c>
      <c r="R448" s="152">
        <v>99</v>
      </c>
      <c r="S448" s="402">
        <f t="shared" si="141"/>
        <v>3158.42</v>
      </c>
      <c r="T448" s="404">
        <f t="shared" si="142"/>
        <v>3129.34</v>
      </c>
      <c r="U448" s="403"/>
      <c r="W448" s="43" t="str">
        <f t="shared" si="136"/>
        <v>x</v>
      </c>
      <c r="X448" s="43" t="str">
        <f t="shared" si="121"/>
        <v>x</v>
      </c>
      <c r="Y448" s="43" t="str">
        <f t="shared" si="128"/>
        <v>x</v>
      </c>
    </row>
    <row r="449" spans="1:25" hidden="1">
      <c r="A449" s="155">
        <v>532600</v>
      </c>
      <c r="B449" s="156" t="s">
        <v>242</v>
      </c>
      <c r="C449" s="411" t="s">
        <v>365</v>
      </c>
      <c r="D449" s="351"/>
      <c r="E449" s="405">
        <v>15</v>
      </c>
      <c r="F449" s="406">
        <v>1.875</v>
      </c>
      <c r="G449" s="412">
        <f>IF(E449&lt;=30,(0.6*E449+1.25)*F449,((0.6*30+1.25)+0.5*(E449-30))*F449)</f>
        <v>19.21875</v>
      </c>
      <c r="H449" s="465">
        <v>12.133333333333333</v>
      </c>
      <c r="I449" s="465">
        <f>IF(ISBLANK(H449),"",SUM(G449:H449))</f>
        <v>31.352083333333333</v>
      </c>
      <c r="J449" s="407">
        <f t="shared" si="137"/>
        <v>39.75</v>
      </c>
      <c r="K449" s="408" t="s">
        <v>16</v>
      </c>
      <c r="L449" s="152">
        <v>0</v>
      </c>
      <c r="M449" s="152"/>
      <c r="N449" s="402">
        <f t="shared" si="138"/>
        <v>0</v>
      </c>
      <c r="O449" s="402">
        <f t="shared" si="139"/>
        <v>0</v>
      </c>
      <c r="P449" s="403"/>
      <c r="Q449" s="152">
        <f t="shared" si="140"/>
        <v>0</v>
      </c>
      <c r="R449" s="152">
        <f t="shared" si="140"/>
        <v>0</v>
      </c>
      <c r="S449" s="402">
        <f t="shared" si="141"/>
        <v>0</v>
      </c>
      <c r="T449" s="404">
        <f t="shared" si="142"/>
        <v>0</v>
      </c>
      <c r="U449" s="403"/>
      <c r="W449" s="43" t="str">
        <f t="shared" si="136"/>
        <v/>
      </c>
      <c r="X449" s="43" t="str">
        <f t="shared" si="121"/>
        <v/>
      </c>
      <c r="Y449" s="43" t="str">
        <f t="shared" si="128"/>
        <v/>
      </c>
    </row>
    <row r="450" spans="1:25" hidden="1">
      <c r="A450" s="155">
        <v>601100</v>
      </c>
      <c r="B450" s="156" t="s">
        <v>242</v>
      </c>
      <c r="C450" s="411" t="s">
        <v>366</v>
      </c>
      <c r="D450" s="351"/>
      <c r="E450" s="405"/>
      <c r="F450" s="406"/>
      <c r="G450" s="158">
        <f>IF(E450&lt;=30,(0.31*E450+0.77)*F450,((0.31*30+0.77)+0.31*(E450-30))*F450)</f>
        <v>0</v>
      </c>
      <c r="H450" s="465">
        <v>38.89</v>
      </c>
      <c r="I450" s="465">
        <f>IF(ISBLANK(H450),"",SUM(G450:H450))</f>
        <v>38.89</v>
      </c>
      <c r="J450" s="407">
        <f t="shared" si="137"/>
        <v>49.31</v>
      </c>
      <c r="K450" s="408" t="s">
        <v>16</v>
      </c>
      <c r="L450" s="152">
        <v>0</v>
      </c>
      <c r="M450" s="152"/>
      <c r="N450" s="402">
        <f t="shared" si="138"/>
        <v>0</v>
      </c>
      <c r="O450" s="402">
        <f t="shared" si="139"/>
        <v>0</v>
      </c>
      <c r="P450" s="403"/>
      <c r="Q450" s="152">
        <f t="shared" si="140"/>
        <v>0</v>
      </c>
      <c r="R450" s="152">
        <f t="shared" si="140"/>
        <v>0</v>
      </c>
      <c r="S450" s="402">
        <f t="shared" si="141"/>
        <v>0</v>
      </c>
      <c r="T450" s="404">
        <f t="shared" si="142"/>
        <v>0</v>
      </c>
      <c r="U450" s="403"/>
      <c r="W450" s="43" t="str">
        <f t="shared" si="136"/>
        <v/>
      </c>
      <c r="X450" s="43" t="str">
        <f t="shared" si="121"/>
        <v/>
      </c>
      <c r="Y450" s="43" t="str">
        <f t="shared" si="128"/>
        <v/>
      </c>
    </row>
    <row r="451" spans="1:25" hidden="1">
      <c r="A451" s="155">
        <v>602100</v>
      </c>
      <c r="B451" s="156" t="s">
        <v>242</v>
      </c>
      <c r="C451" s="411" t="s">
        <v>367</v>
      </c>
      <c r="D451" s="351"/>
      <c r="E451" s="405"/>
      <c r="F451" s="406"/>
      <c r="G451" s="158">
        <f>IF(E451&lt;=30,(0.31*E451+0.77)*F451,((0.31*30+0.77)+0.31*(E451-30))*F451)</f>
        <v>0</v>
      </c>
      <c r="H451" s="465">
        <v>70.16</v>
      </c>
      <c r="I451" s="465">
        <f>IF(ISBLANK(H451),"",SUM(G451:H451))</f>
        <v>70.16</v>
      </c>
      <c r="J451" s="407">
        <f t="shared" si="137"/>
        <v>88.96</v>
      </c>
      <c r="K451" s="408" t="s">
        <v>18</v>
      </c>
      <c r="L451" s="152">
        <v>0</v>
      </c>
      <c r="M451" s="152"/>
      <c r="N451" s="402">
        <f t="shared" si="138"/>
        <v>0</v>
      </c>
      <c r="O451" s="402">
        <f t="shared" si="139"/>
        <v>0</v>
      </c>
      <c r="P451" s="403"/>
      <c r="Q451" s="152">
        <f t="shared" si="140"/>
        <v>0</v>
      </c>
      <c r="R451" s="152">
        <f t="shared" si="140"/>
        <v>0</v>
      </c>
      <c r="S451" s="402">
        <f t="shared" si="141"/>
        <v>0</v>
      </c>
      <c r="T451" s="404">
        <f t="shared" si="142"/>
        <v>0</v>
      </c>
      <c r="U451" s="403"/>
      <c r="W451" s="43" t="str">
        <f t="shared" si="136"/>
        <v/>
      </c>
      <c r="X451" s="43" t="str">
        <f t="shared" si="121"/>
        <v/>
      </c>
      <c r="Y451" s="43" t="str">
        <f t="shared" si="128"/>
        <v/>
      </c>
    </row>
    <row r="452" spans="1:25" hidden="1">
      <c r="A452" s="155">
        <v>603000</v>
      </c>
      <c r="B452" s="156" t="s">
        <v>242</v>
      </c>
      <c r="C452" s="411" t="s">
        <v>368</v>
      </c>
      <c r="D452" s="351"/>
      <c r="E452" s="405"/>
      <c r="F452" s="406"/>
      <c r="G452" s="158">
        <f>IF(E452&lt;=30,(0.31*E452+0.77)*F452,((0.31*30+0.77)+0.31*(E452-30))*F452)</f>
        <v>0</v>
      </c>
      <c r="H452" s="465">
        <v>10.199999999999999</v>
      </c>
      <c r="I452" s="465">
        <f>IF(ISBLANK(H452),"",SUM(G452:H452))</f>
        <v>10.199999999999999</v>
      </c>
      <c r="J452" s="407">
        <f t="shared" si="137"/>
        <v>12.93</v>
      </c>
      <c r="K452" s="408" t="s">
        <v>26</v>
      </c>
      <c r="L452" s="152">
        <v>0</v>
      </c>
      <c r="M452" s="152"/>
      <c r="N452" s="402">
        <f t="shared" si="138"/>
        <v>0</v>
      </c>
      <c r="O452" s="402">
        <f t="shared" si="139"/>
        <v>0</v>
      </c>
      <c r="P452" s="403"/>
      <c r="Q452" s="152">
        <f t="shared" si="140"/>
        <v>0</v>
      </c>
      <c r="R452" s="152">
        <f t="shared" si="140"/>
        <v>0</v>
      </c>
      <c r="S452" s="402">
        <f t="shared" si="141"/>
        <v>0</v>
      </c>
      <c r="T452" s="404">
        <f t="shared" si="142"/>
        <v>0</v>
      </c>
      <c r="U452" s="403"/>
      <c r="W452" s="43" t="str">
        <f t="shared" si="136"/>
        <v/>
      </c>
      <c r="X452" s="43" t="str">
        <f t="shared" si="121"/>
        <v/>
      </c>
      <c r="Y452" s="43" t="str">
        <f t="shared" si="128"/>
        <v/>
      </c>
    </row>
    <row r="453" spans="1:25" hidden="1">
      <c r="A453" s="155">
        <v>603300</v>
      </c>
      <c r="B453" s="156" t="s">
        <v>242</v>
      </c>
      <c r="C453" s="411" t="s">
        <v>369</v>
      </c>
      <c r="D453" s="351"/>
      <c r="E453" s="405"/>
      <c r="F453" s="406"/>
      <c r="G453" s="158">
        <f>IF(E453&lt;=30,(0.31*E453+0.77)*F453,((0.31*30+0.77)+0.31*(E453-30))*F453)</f>
        <v>0</v>
      </c>
      <c r="H453" s="465">
        <v>10.5</v>
      </c>
      <c r="I453" s="465">
        <f>IF(ISBLANK(H453),"",SUM(G453:H453))</f>
        <v>10.5</v>
      </c>
      <c r="J453" s="407">
        <f t="shared" si="137"/>
        <v>13.31</v>
      </c>
      <c r="K453" s="408" t="s">
        <v>26</v>
      </c>
      <c r="L453" s="152">
        <v>0</v>
      </c>
      <c r="M453" s="152"/>
      <c r="N453" s="402">
        <f t="shared" si="138"/>
        <v>0</v>
      </c>
      <c r="O453" s="402">
        <f t="shared" si="139"/>
        <v>0</v>
      </c>
      <c r="P453" s="403"/>
      <c r="Q453" s="152">
        <f t="shared" si="140"/>
        <v>0</v>
      </c>
      <c r="R453" s="152">
        <f t="shared" si="140"/>
        <v>0</v>
      </c>
      <c r="S453" s="402">
        <f t="shared" si="141"/>
        <v>0</v>
      </c>
      <c r="T453" s="404">
        <f t="shared" si="142"/>
        <v>0</v>
      </c>
      <c r="U453" s="403"/>
      <c r="W453" s="43" t="str">
        <f t="shared" si="136"/>
        <v/>
      </c>
      <c r="X453" s="43" t="str">
        <f t="shared" si="121"/>
        <v/>
      </c>
      <c r="Y453" s="43" t="str">
        <f t="shared" si="128"/>
        <v/>
      </c>
    </row>
    <row r="454" spans="1:25" hidden="1">
      <c r="A454" s="155">
        <v>605000</v>
      </c>
      <c r="B454" s="156" t="s">
        <v>242</v>
      </c>
      <c r="C454" s="411" t="s">
        <v>370</v>
      </c>
      <c r="D454" s="351"/>
      <c r="E454" s="405"/>
      <c r="F454" s="406"/>
      <c r="G454" s="158">
        <f>SUM(G455:G457)*0.05</f>
        <v>6.7018250000000013</v>
      </c>
      <c r="H454" s="465">
        <v>19.416500000000003</v>
      </c>
      <c r="I454" s="465">
        <f t="shared" ref="I454:I457" si="145">IF(ISBLANK(H454),"",SUM(G454:H454))</f>
        <v>26.118325000000006</v>
      </c>
      <c r="J454" s="407">
        <f t="shared" si="137"/>
        <v>33.119999999999997</v>
      </c>
      <c r="K454" s="408" t="s">
        <v>18</v>
      </c>
      <c r="L454" s="152">
        <v>0</v>
      </c>
      <c r="M454" s="152"/>
      <c r="N454" s="402">
        <f t="shared" si="138"/>
        <v>0</v>
      </c>
      <c r="O454" s="402">
        <f t="shared" si="139"/>
        <v>0</v>
      </c>
      <c r="P454" s="403"/>
      <c r="Q454" s="152">
        <f t="shared" si="140"/>
        <v>0</v>
      </c>
      <c r="R454" s="152">
        <f t="shared" si="140"/>
        <v>0</v>
      </c>
      <c r="S454" s="402">
        <f t="shared" si="141"/>
        <v>0</v>
      </c>
      <c r="T454" s="404">
        <f t="shared" si="142"/>
        <v>0</v>
      </c>
      <c r="U454" s="403"/>
      <c r="W454" s="43" t="str">
        <f t="shared" si="136"/>
        <v/>
      </c>
      <c r="X454" s="43" t="str">
        <f t="shared" si="121"/>
        <v/>
      </c>
      <c r="Y454" s="43" t="str">
        <f t="shared" si="128"/>
        <v/>
      </c>
    </row>
    <row r="455" spans="1:25" hidden="1">
      <c r="A455" s="155" t="s">
        <v>183</v>
      </c>
      <c r="B455" s="156"/>
      <c r="C455" s="348" t="s">
        <v>251</v>
      </c>
      <c r="D455" s="157"/>
      <c r="E455" s="405">
        <v>545</v>
      </c>
      <c r="F455" s="406">
        <v>0.18</v>
      </c>
      <c r="G455" s="158">
        <f>IF(E455&lt;=30,(0.42*E455+3.55)*F455,((0.42*30+3.55)+0.35*(E455-30))*F455)</f>
        <v>35.351999999999997</v>
      </c>
      <c r="H455" s="465"/>
      <c r="I455" s="465" t="str">
        <f t="shared" si="145"/>
        <v/>
      </c>
      <c r="J455" s="407">
        <f t="shared" si="137"/>
        <v>0</v>
      </c>
      <c r="K455" s="394" t="s">
        <v>1029</v>
      </c>
      <c r="L455" s="152">
        <v>0</v>
      </c>
      <c r="M455" s="213"/>
      <c r="N455" s="402">
        <f t="shared" si="138"/>
        <v>0</v>
      </c>
      <c r="O455" s="402">
        <f t="shared" si="139"/>
        <v>0</v>
      </c>
      <c r="P455" s="403"/>
      <c r="Q455" s="212"/>
      <c r="R455" s="213"/>
      <c r="S455" s="402">
        <f t="shared" si="141"/>
        <v>0</v>
      </c>
      <c r="T455" s="404">
        <f t="shared" si="142"/>
        <v>0</v>
      </c>
      <c r="U455" s="403"/>
      <c r="V455" s="144" t="str">
        <f>IF(T454&gt;0,"xx",IF(O454&gt;0,"xy",""))</f>
        <v/>
      </c>
      <c r="W455" s="43" t="str">
        <f t="shared" si="136"/>
        <v/>
      </c>
      <c r="X455" s="43" t="str">
        <f t="shared" si="121"/>
        <v/>
      </c>
      <c r="Y455" s="43" t="str">
        <f t="shared" si="128"/>
        <v/>
      </c>
    </row>
    <row r="456" spans="1:25" hidden="1">
      <c r="A456" s="155" t="s">
        <v>183</v>
      </c>
      <c r="B456" s="156"/>
      <c r="C456" s="348" t="s">
        <v>314</v>
      </c>
      <c r="D456" s="157"/>
      <c r="E456" s="405">
        <v>160</v>
      </c>
      <c r="F456" s="406">
        <v>1.06</v>
      </c>
      <c r="G456" s="412">
        <f>IF(E456&lt;=30,(0.6*E456+1.25)*F456,((0.6*30+1.25)+0.5*(E456-30))*F456)</f>
        <v>89.305000000000007</v>
      </c>
      <c r="H456" s="465"/>
      <c r="I456" s="465" t="str">
        <f t="shared" si="145"/>
        <v/>
      </c>
      <c r="J456" s="407">
        <f t="shared" si="137"/>
        <v>0</v>
      </c>
      <c r="K456" s="394" t="s">
        <v>1029</v>
      </c>
      <c r="L456" s="152">
        <v>0</v>
      </c>
      <c r="M456" s="213"/>
      <c r="N456" s="402">
        <f t="shared" si="138"/>
        <v>0</v>
      </c>
      <c r="O456" s="402">
        <f t="shared" si="139"/>
        <v>0</v>
      </c>
      <c r="P456" s="403"/>
      <c r="Q456" s="212"/>
      <c r="R456" s="213"/>
      <c r="S456" s="402">
        <f t="shared" si="141"/>
        <v>0</v>
      </c>
      <c r="T456" s="404">
        <f t="shared" si="142"/>
        <v>0</v>
      </c>
      <c r="U456" s="403"/>
      <c r="V456" s="144" t="str">
        <f>IF(T454&gt;0,"xx",IF(O454&gt;0,"xy",""))</f>
        <v/>
      </c>
      <c r="W456" s="43" t="str">
        <f t="shared" si="136"/>
        <v/>
      </c>
      <c r="X456" s="43" t="str">
        <f t="shared" ref="X456:X711" si="146">IF(V456="X","x",IF(V456="y","x",IF(V456="xx","x",IF(T456&gt;0,"x",""))))</f>
        <v/>
      </c>
      <c r="Y456" s="43" t="str">
        <f t="shared" si="128"/>
        <v/>
      </c>
    </row>
    <row r="457" spans="1:25" hidden="1">
      <c r="A457" s="155" t="s">
        <v>183</v>
      </c>
      <c r="B457" s="156"/>
      <c r="C457" s="348" t="s">
        <v>323</v>
      </c>
      <c r="D457" s="157"/>
      <c r="E457" s="405">
        <v>12</v>
      </c>
      <c r="F457" s="406">
        <v>1.1100000000000001</v>
      </c>
      <c r="G457" s="412">
        <f>IF(E457&lt;=30,(0.6*E457+1.25)*F457,((0.6*30+1.25)+0.5*(E457-30))*F457)</f>
        <v>9.3795000000000002</v>
      </c>
      <c r="H457" s="465"/>
      <c r="I457" s="465" t="str">
        <f t="shared" si="145"/>
        <v/>
      </c>
      <c r="J457" s="407">
        <f t="shared" si="137"/>
        <v>0</v>
      </c>
      <c r="K457" s="394" t="s">
        <v>1029</v>
      </c>
      <c r="L457" s="152">
        <v>0</v>
      </c>
      <c r="M457" s="213"/>
      <c r="N457" s="402">
        <f t="shared" si="138"/>
        <v>0</v>
      </c>
      <c r="O457" s="402">
        <f t="shared" si="139"/>
        <v>0</v>
      </c>
      <c r="P457" s="403"/>
      <c r="Q457" s="212"/>
      <c r="R457" s="213"/>
      <c r="S457" s="402">
        <f t="shared" si="141"/>
        <v>0</v>
      </c>
      <c r="T457" s="404">
        <f t="shared" si="142"/>
        <v>0</v>
      </c>
      <c r="U457" s="403"/>
      <c r="V457" s="144" t="str">
        <f>IF(T454&gt;0,"xx",IF(O454&gt;0,"xy",""))</f>
        <v/>
      </c>
      <c r="W457" s="43" t="str">
        <f t="shared" si="136"/>
        <v/>
      </c>
      <c r="X457" s="43" t="str">
        <f t="shared" si="146"/>
        <v/>
      </c>
      <c r="Y457" s="43" t="str">
        <f t="shared" si="128"/>
        <v/>
      </c>
    </row>
    <row r="458" spans="1:25" hidden="1">
      <c r="A458" s="155">
        <v>605000</v>
      </c>
      <c r="B458" s="156" t="s">
        <v>242</v>
      </c>
      <c r="C458" s="411" t="s">
        <v>1071</v>
      </c>
      <c r="D458" s="351"/>
      <c r="E458" s="405"/>
      <c r="F458" s="406"/>
      <c r="G458" s="158">
        <f>SUM(G459:G461)*0.06</f>
        <v>8.0421900000000015</v>
      </c>
      <c r="H458" s="465">
        <v>23.061800000000002</v>
      </c>
      <c r="I458" s="465">
        <f t="shared" ref="I458:I471" si="147">IF(ISBLANK(H458),"",SUM(G458:H458))</f>
        <v>31.103990000000003</v>
      </c>
      <c r="J458" s="407">
        <f t="shared" si="137"/>
        <v>39.44</v>
      </c>
      <c r="K458" s="408" t="s">
        <v>18</v>
      </c>
      <c r="L458" s="152">
        <v>0</v>
      </c>
      <c r="M458" s="152"/>
      <c r="N458" s="402">
        <f t="shared" si="138"/>
        <v>0</v>
      </c>
      <c r="O458" s="402">
        <f t="shared" si="139"/>
        <v>0</v>
      </c>
      <c r="P458" s="403"/>
      <c r="Q458" s="152">
        <f t="shared" ref="Q458:R458" si="148">L458</f>
        <v>0</v>
      </c>
      <c r="R458" s="152">
        <f t="shared" si="148"/>
        <v>0</v>
      </c>
      <c r="S458" s="402">
        <f t="shared" si="141"/>
        <v>0</v>
      </c>
      <c r="T458" s="404">
        <f t="shared" si="142"/>
        <v>0</v>
      </c>
      <c r="U458" s="403"/>
      <c r="W458" s="43" t="str">
        <f t="shared" si="136"/>
        <v/>
      </c>
      <c r="X458" s="43" t="str">
        <f t="shared" si="146"/>
        <v/>
      </c>
      <c r="Y458" s="43" t="str">
        <f t="shared" si="128"/>
        <v/>
      </c>
    </row>
    <row r="459" spans="1:25" hidden="1">
      <c r="A459" s="155" t="s">
        <v>183</v>
      </c>
      <c r="B459" s="156"/>
      <c r="C459" s="348" t="s">
        <v>251</v>
      </c>
      <c r="D459" s="157"/>
      <c r="E459" s="405">
        <v>545</v>
      </c>
      <c r="F459" s="406">
        <v>0.18</v>
      </c>
      <c r="G459" s="158">
        <f>IF(E459&lt;=30,(0.42*E459+3.55)*F459,((0.42*30+3.55)+0.35*(E459-30))*F459)</f>
        <v>35.351999999999997</v>
      </c>
      <c r="H459" s="465"/>
      <c r="I459" s="465" t="str">
        <f t="shared" si="147"/>
        <v/>
      </c>
      <c r="J459" s="407">
        <f t="shared" si="137"/>
        <v>0</v>
      </c>
      <c r="K459" s="394" t="s">
        <v>1029</v>
      </c>
      <c r="L459" s="152">
        <v>0</v>
      </c>
      <c r="M459" s="213"/>
      <c r="N459" s="402">
        <f t="shared" si="138"/>
        <v>0</v>
      </c>
      <c r="O459" s="402">
        <f t="shared" si="139"/>
        <v>0</v>
      </c>
      <c r="P459" s="403"/>
      <c r="Q459" s="212"/>
      <c r="R459" s="213"/>
      <c r="S459" s="402">
        <f t="shared" si="141"/>
        <v>0</v>
      </c>
      <c r="T459" s="404">
        <f t="shared" si="142"/>
        <v>0</v>
      </c>
      <c r="U459" s="403"/>
      <c r="V459" s="144" t="str">
        <f>IF(T458&gt;0,"xx",IF(O458&gt;0,"xy",""))</f>
        <v/>
      </c>
      <c r="W459" s="43" t="str">
        <f t="shared" si="136"/>
        <v/>
      </c>
      <c r="X459" s="43" t="str">
        <f t="shared" si="146"/>
        <v/>
      </c>
      <c r="Y459" s="43" t="str">
        <f t="shared" si="128"/>
        <v/>
      </c>
    </row>
    <row r="460" spans="1:25" hidden="1">
      <c r="A460" s="155" t="s">
        <v>183</v>
      </c>
      <c r="B460" s="156"/>
      <c r="C460" s="348" t="s">
        <v>314</v>
      </c>
      <c r="D460" s="157"/>
      <c r="E460" s="405">
        <v>160</v>
      </c>
      <c r="F460" s="406">
        <v>1.06</v>
      </c>
      <c r="G460" s="412">
        <f>IF(E460&lt;=30,(0.6*E460+1.25)*F460,((0.6*30+1.25)+0.5*(E460-30))*F460)</f>
        <v>89.305000000000007</v>
      </c>
      <c r="H460" s="465"/>
      <c r="I460" s="465" t="str">
        <f t="shared" si="147"/>
        <v/>
      </c>
      <c r="J460" s="407">
        <f t="shared" si="137"/>
        <v>0</v>
      </c>
      <c r="K460" s="394" t="s">
        <v>1029</v>
      </c>
      <c r="L460" s="152">
        <v>0</v>
      </c>
      <c r="M460" s="213"/>
      <c r="N460" s="402">
        <f t="shared" si="138"/>
        <v>0</v>
      </c>
      <c r="O460" s="402">
        <f t="shared" si="139"/>
        <v>0</v>
      </c>
      <c r="P460" s="403"/>
      <c r="Q460" s="212"/>
      <c r="R460" s="213"/>
      <c r="S460" s="402">
        <f t="shared" si="141"/>
        <v>0</v>
      </c>
      <c r="T460" s="404">
        <f t="shared" si="142"/>
        <v>0</v>
      </c>
      <c r="U460" s="403"/>
      <c r="V460" s="144" t="str">
        <f>IF(T458&gt;0,"xx",IF(O458&gt;0,"xy",""))</f>
        <v/>
      </c>
      <c r="W460" s="43" t="str">
        <f t="shared" si="136"/>
        <v/>
      </c>
      <c r="X460" s="43" t="str">
        <f t="shared" si="146"/>
        <v/>
      </c>
      <c r="Y460" s="43" t="str">
        <f t="shared" si="128"/>
        <v/>
      </c>
    </row>
    <row r="461" spans="1:25" hidden="1">
      <c r="A461" s="155" t="s">
        <v>183</v>
      </c>
      <c r="B461" s="156"/>
      <c r="C461" s="348" t="s">
        <v>323</v>
      </c>
      <c r="D461" s="157"/>
      <c r="E461" s="405">
        <v>12</v>
      </c>
      <c r="F461" s="406">
        <v>1.1100000000000001</v>
      </c>
      <c r="G461" s="412">
        <f>IF(E461&lt;=30,(0.6*E461+1.25)*F461,((0.6*30+1.25)+0.5*(E461-30))*F461)</f>
        <v>9.3795000000000002</v>
      </c>
      <c r="H461" s="465"/>
      <c r="I461" s="465" t="str">
        <f t="shared" si="147"/>
        <v/>
      </c>
      <c r="J461" s="407">
        <f t="shared" si="137"/>
        <v>0</v>
      </c>
      <c r="K461" s="394" t="s">
        <v>1029</v>
      </c>
      <c r="L461" s="152">
        <v>0</v>
      </c>
      <c r="M461" s="213"/>
      <c r="N461" s="402">
        <f t="shared" si="138"/>
        <v>0</v>
      </c>
      <c r="O461" s="402">
        <f t="shared" si="139"/>
        <v>0</v>
      </c>
      <c r="P461" s="403"/>
      <c r="Q461" s="212"/>
      <c r="R461" s="213"/>
      <c r="S461" s="402">
        <f t="shared" si="141"/>
        <v>0</v>
      </c>
      <c r="T461" s="404">
        <f t="shared" si="142"/>
        <v>0</v>
      </c>
      <c r="U461" s="403"/>
      <c r="V461" s="144" t="str">
        <f>IF(T458&gt;0,"xx",IF(O458&gt;0,"xy",""))</f>
        <v/>
      </c>
      <c r="W461" s="43" t="str">
        <f t="shared" si="136"/>
        <v/>
      </c>
      <c r="X461" s="43" t="str">
        <f t="shared" si="146"/>
        <v/>
      </c>
      <c r="Y461" s="43" t="str">
        <f t="shared" si="128"/>
        <v/>
      </c>
    </row>
    <row r="462" spans="1:25" hidden="1">
      <c r="A462" s="155">
        <v>605000</v>
      </c>
      <c r="B462" s="156" t="s">
        <v>242</v>
      </c>
      <c r="C462" s="411" t="s">
        <v>1072</v>
      </c>
      <c r="D462" s="351"/>
      <c r="E462" s="405"/>
      <c r="F462" s="406"/>
      <c r="G462" s="158">
        <f>SUM(G463:G465)*0.07</f>
        <v>9.3825550000000018</v>
      </c>
      <c r="H462" s="465">
        <v>26.707100000000004</v>
      </c>
      <c r="I462" s="465">
        <f t="shared" si="147"/>
        <v>36.089655000000008</v>
      </c>
      <c r="J462" s="407">
        <f t="shared" si="137"/>
        <v>45.76</v>
      </c>
      <c r="K462" s="408" t="s">
        <v>18</v>
      </c>
      <c r="L462" s="152">
        <v>0</v>
      </c>
      <c r="M462" s="152"/>
      <c r="N462" s="402">
        <f t="shared" si="138"/>
        <v>0</v>
      </c>
      <c r="O462" s="402">
        <f t="shared" si="139"/>
        <v>0</v>
      </c>
      <c r="P462" s="403"/>
      <c r="Q462" s="152">
        <f t="shared" ref="Q462:R462" si="149">L462</f>
        <v>0</v>
      </c>
      <c r="R462" s="152">
        <f t="shared" si="149"/>
        <v>0</v>
      </c>
      <c r="S462" s="402">
        <f t="shared" si="141"/>
        <v>0</v>
      </c>
      <c r="T462" s="404">
        <f t="shared" si="142"/>
        <v>0</v>
      </c>
      <c r="U462" s="403"/>
      <c r="W462" s="43" t="str">
        <f t="shared" si="136"/>
        <v/>
      </c>
      <c r="X462" s="43" t="str">
        <f t="shared" si="146"/>
        <v/>
      </c>
      <c r="Y462" s="43" t="str">
        <f t="shared" si="128"/>
        <v/>
      </c>
    </row>
    <row r="463" spans="1:25" hidden="1">
      <c r="A463" s="155" t="s">
        <v>183</v>
      </c>
      <c r="B463" s="156"/>
      <c r="C463" s="348" t="s">
        <v>251</v>
      </c>
      <c r="D463" s="157"/>
      <c r="E463" s="405">
        <v>545</v>
      </c>
      <c r="F463" s="406">
        <v>0.18</v>
      </c>
      <c r="G463" s="158">
        <f>IF(E463&lt;=30,(0.42*E463+3.55)*F463,((0.42*30+3.55)+0.35*(E463-30))*F463)</f>
        <v>35.351999999999997</v>
      </c>
      <c r="H463" s="465"/>
      <c r="I463" s="465" t="str">
        <f t="shared" si="147"/>
        <v/>
      </c>
      <c r="J463" s="407">
        <f t="shared" si="137"/>
        <v>0</v>
      </c>
      <c r="K463" s="394" t="s">
        <v>1029</v>
      </c>
      <c r="L463" s="152">
        <v>0</v>
      </c>
      <c r="M463" s="213"/>
      <c r="N463" s="402">
        <f t="shared" si="138"/>
        <v>0</v>
      </c>
      <c r="O463" s="402">
        <f t="shared" si="139"/>
        <v>0</v>
      </c>
      <c r="P463" s="403"/>
      <c r="Q463" s="212"/>
      <c r="R463" s="213"/>
      <c r="S463" s="402">
        <f t="shared" si="141"/>
        <v>0</v>
      </c>
      <c r="T463" s="404">
        <f t="shared" si="142"/>
        <v>0</v>
      </c>
      <c r="U463" s="403"/>
      <c r="V463" s="144" t="str">
        <f>IF(T462&gt;0,"xx",IF(O462&gt;0,"xy",""))</f>
        <v/>
      </c>
      <c r="W463" s="43" t="str">
        <f t="shared" si="136"/>
        <v/>
      </c>
      <c r="X463" s="43" t="str">
        <f t="shared" si="146"/>
        <v/>
      </c>
      <c r="Y463" s="43" t="str">
        <f t="shared" si="128"/>
        <v/>
      </c>
    </row>
    <row r="464" spans="1:25" hidden="1">
      <c r="A464" s="155" t="s">
        <v>183</v>
      </c>
      <c r="B464" s="156"/>
      <c r="C464" s="348" t="s">
        <v>314</v>
      </c>
      <c r="D464" s="157"/>
      <c r="E464" s="405">
        <v>160</v>
      </c>
      <c r="F464" s="406">
        <v>1.06</v>
      </c>
      <c r="G464" s="412">
        <f>IF(E464&lt;=30,(0.6*E464+1.25)*F464,((0.6*30+1.25)+0.5*(E464-30))*F464)</f>
        <v>89.305000000000007</v>
      </c>
      <c r="H464" s="465"/>
      <c r="I464" s="465" t="str">
        <f t="shared" si="147"/>
        <v/>
      </c>
      <c r="J464" s="407">
        <f t="shared" si="137"/>
        <v>0</v>
      </c>
      <c r="K464" s="394" t="s">
        <v>1029</v>
      </c>
      <c r="L464" s="152">
        <v>0</v>
      </c>
      <c r="M464" s="213"/>
      <c r="N464" s="402">
        <f t="shared" si="138"/>
        <v>0</v>
      </c>
      <c r="O464" s="402">
        <f t="shared" si="139"/>
        <v>0</v>
      </c>
      <c r="P464" s="403"/>
      <c r="Q464" s="212"/>
      <c r="R464" s="213"/>
      <c r="S464" s="402">
        <f t="shared" si="141"/>
        <v>0</v>
      </c>
      <c r="T464" s="404">
        <f t="shared" si="142"/>
        <v>0</v>
      </c>
      <c r="U464" s="403"/>
      <c r="V464" s="144" t="str">
        <f>IF(T462&gt;0,"xx",IF(O462&gt;0,"xy",""))</f>
        <v/>
      </c>
      <c r="W464" s="43" t="str">
        <f t="shared" si="136"/>
        <v/>
      </c>
      <c r="X464" s="43" t="str">
        <f t="shared" si="146"/>
        <v/>
      </c>
      <c r="Y464" s="43" t="str">
        <f t="shared" si="128"/>
        <v/>
      </c>
    </row>
    <row r="465" spans="1:25" hidden="1">
      <c r="A465" s="155" t="s">
        <v>183</v>
      </c>
      <c r="B465" s="156"/>
      <c r="C465" s="348" t="s">
        <v>323</v>
      </c>
      <c r="D465" s="157"/>
      <c r="E465" s="405">
        <v>12</v>
      </c>
      <c r="F465" s="406">
        <v>1.1100000000000001</v>
      </c>
      <c r="G465" s="412">
        <f>IF(E465&lt;=30,(0.6*E465+1.25)*F465,((0.6*30+1.25)+0.5*(E465-30))*F465)</f>
        <v>9.3795000000000002</v>
      </c>
      <c r="H465" s="465"/>
      <c r="I465" s="465" t="str">
        <f t="shared" si="147"/>
        <v/>
      </c>
      <c r="J465" s="407">
        <f t="shared" si="137"/>
        <v>0</v>
      </c>
      <c r="K465" s="394" t="s">
        <v>1029</v>
      </c>
      <c r="L465" s="152">
        <v>0</v>
      </c>
      <c r="M465" s="213"/>
      <c r="N465" s="402">
        <f t="shared" si="138"/>
        <v>0</v>
      </c>
      <c r="O465" s="402">
        <f t="shared" si="139"/>
        <v>0</v>
      </c>
      <c r="P465" s="403"/>
      <c r="Q465" s="212"/>
      <c r="R465" s="213"/>
      <c r="S465" s="402">
        <f t="shared" si="141"/>
        <v>0</v>
      </c>
      <c r="T465" s="404">
        <f t="shared" si="142"/>
        <v>0</v>
      </c>
      <c r="U465" s="403"/>
      <c r="V465" s="144" t="str">
        <f>IF(T462&gt;0,"xx",IF(O462&gt;0,"xy",""))</f>
        <v/>
      </c>
      <c r="W465" s="43" t="str">
        <f t="shared" si="136"/>
        <v/>
      </c>
      <c r="X465" s="43" t="str">
        <f t="shared" si="146"/>
        <v/>
      </c>
      <c r="Y465" s="43" t="str">
        <f t="shared" si="128"/>
        <v/>
      </c>
    </row>
    <row r="466" spans="1:25" hidden="1">
      <c r="A466" s="155">
        <v>605000</v>
      </c>
      <c r="B466" s="156" t="s">
        <v>242</v>
      </c>
      <c r="C466" s="411" t="s">
        <v>1099</v>
      </c>
      <c r="D466" s="351"/>
      <c r="E466" s="405"/>
      <c r="F466" s="406"/>
      <c r="G466" s="158">
        <f>SUM(G467:G469)*0.08</f>
        <v>10.722920000000002</v>
      </c>
      <c r="H466" s="465">
        <v>30.352400000000003</v>
      </c>
      <c r="I466" s="465">
        <f t="shared" si="147"/>
        <v>41.075320000000005</v>
      </c>
      <c r="J466" s="407">
        <f t="shared" si="137"/>
        <v>52.08</v>
      </c>
      <c r="K466" s="408" t="s">
        <v>18</v>
      </c>
      <c r="L466" s="152">
        <v>0</v>
      </c>
      <c r="M466" s="152"/>
      <c r="N466" s="402">
        <f t="shared" si="138"/>
        <v>0</v>
      </c>
      <c r="O466" s="402">
        <f t="shared" si="139"/>
        <v>0</v>
      </c>
      <c r="P466" s="403"/>
      <c r="Q466" s="152">
        <f t="shared" ref="Q466:R466" si="150">L466</f>
        <v>0</v>
      </c>
      <c r="R466" s="152">
        <f t="shared" si="150"/>
        <v>0</v>
      </c>
      <c r="S466" s="402">
        <f t="shared" si="141"/>
        <v>0</v>
      </c>
      <c r="T466" s="404">
        <f t="shared" si="142"/>
        <v>0</v>
      </c>
      <c r="U466" s="403"/>
      <c r="W466" s="43" t="str">
        <f t="shared" si="136"/>
        <v/>
      </c>
      <c r="X466" s="43" t="str">
        <f t="shared" si="146"/>
        <v/>
      </c>
      <c r="Y466" s="43" t="str">
        <f t="shared" si="128"/>
        <v/>
      </c>
    </row>
    <row r="467" spans="1:25" hidden="1">
      <c r="A467" s="155" t="s">
        <v>183</v>
      </c>
      <c r="B467" s="156"/>
      <c r="C467" s="348" t="s">
        <v>251</v>
      </c>
      <c r="D467" s="157"/>
      <c r="E467" s="405">
        <v>545</v>
      </c>
      <c r="F467" s="406">
        <v>0.18</v>
      </c>
      <c r="G467" s="158">
        <f>IF(E467&lt;=30,(0.42*E467+3.55)*F467,((0.42*30+3.55)+0.35*(E467-30))*F467)</f>
        <v>35.351999999999997</v>
      </c>
      <c r="H467" s="465"/>
      <c r="I467" s="465" t="str">
        <f t="shared" si="147"/>
        <v/>
      </c>
      <c r="J467" s="407">
        <f t="shared" si="137"/>
        <v>0</v>
      </c>
      <c r="K467" s="394" t="s">
        <v>1029</v>
      </c>
      <c r="L467" s="152">
        <v>0</v>
      </c>
      <c r="M467" s="213"/>
      <c r="N467" s="402">
        <f t="shared" si="138"/>
        <v>0</v>
      </c>
      <c r="O467" s="402">
        <f t="shared" si="139"/>
        <v>0</v>
      </c>
      <c r="P467" s="403"/>
      <c r="Q467" s="212"/>
      <c r="R467" s="213"/>
      <c r="S467" s="402">
        <f t="shared" si="141"/>
        <v>0</v>
      </c>
      <c r="T467" s="404">
        <f t="shared" si="142"/>
        <v>0</v>
      </c>
      <c r="U467" s="403"/>
      <c r="V467" s="144" t="str">
        <f>IF(T466&gt;0,"xx",IF(O466&gt;0,"xy",""))</f>
        <v/>
      </c>
      <c r="W467" s="43" t="str">
        <f t="shared" si="136"/>
        <v/>
      </c>
      <c r="X467" s="43" t="str">
        <f t="shared" si="146"/>
        <v/>
      </c>
      <c r="Y467" s="43" t="str">
        <f t="shared" si="128"/>
        <v/>
      </c>
    </row>
    <row r="468" spans="1:25" hidden="1">
      <c r="A468" s="155" t="s">
        <v>183</v>
      </c>
      <c r="B468" s="156"/>
      <c r="C468" s="348" t="s">
        <v>314</v>
      </c>
      <c r="D468" s="157"/>
      <c r="E468" s="405">
        <v>160</v>
      </c>
      <c r="F468" s="406">
        <v>1.06</v>
      </c>
      <c r="G468" s="412">
        <f>IF(E468&lt;=30,(0.6*E468+1.25)*F468,((0.6*30+1.25)+0.5*(E468-30))*F468)</f>
        <v>89.305000000000007</v>
      </c>
      <c r="H468" s="465"/>
      <c r="I468" s="465" t="str">
        <f t="shared" si="147"/>
        <v/>
      </c>
      <c r="J468" s="407">
        <f t="shared" si="137"/>
        <v>0</v>
      </c>
      <c r="K468" s="394" t="s">
        <v>1029</v>
      </c>
      <c r="L468" s="152">
        <v>0</v>
      </c>
      <c r="M468" s="213"/>
      <c r="N468" s="402">
        <f t="shared" si="138"/>
        <v>0</v>
      </c>
      <c r="O468" s="402">
        <f t="shared" si="139"/>
        <v>0</v>
      </c>
      <c r="P468" s="403"/>
      <c r="Q468" s="212"/>
      <c r="R468" s="213"/>
      <c r="S468" s="402">
        <f t="shared" si="141"/>
        <v>0</v>
      </c>
      <c r="T468" s="404">
        <f t="shared" si="142"/>
        <v>0</v>
      </c>
      <c r="U468" s="403"/>
      <c r="V468" s="144" t="str">
        <f>IF(T466&gt;0,"xx",IF(O466&gt;0,"xy",""))</f>
        <v/>
      </c>
      <c r="W468" s="43" t="str">
        <f t="shared" si="136"/>
        <v/>
      </c>
      <c r="X468" s="43" t="str">
        <f t="shared" si="146"/>
        <v/>
      </c>
      <c r="Y468" s="43" t="str">
        <f t="shared" si="128"/>
        <v/>
      </c>
    </row>
    <row r="469" spans="1:25" hidden="1">
      <c r="A469" s="155" t="s">
        <v>183</v>
      </c>
      <c r="B469" s="156"/>
      <c r="C469" s="348" t="s">
        <v>323</v>
      </c>
      <c r="D469" s="157"/>
      <c r="E469" s="405">
        <v>12</v>
      </c>
      <c r="F469" s="406">
        <v>1.1100000000000001</v>
      </c>
      <c r="G469" s="412">
        <f>IF(E469&lt;=30,(0.6*E469+1.25)*F469,((0.6*30+1.25)+0.5*(E469-30))*F469)</f>
        <v>9.3795000000000002</v>
      </c>
      <c r="H469" s="465"/>
      <c r="I469" s="465" t="str">
        <f t="shared" si="147"/>
        <v/>
      </c>
      <c r="J469" s="407">
        <f t="shared" si="137"/>
        <v>0</v>
      </c>
      <c r="K469" s="394" t="s">
        <v>1029</v>
      </c>
      <c r="L469" s="152">
        <v>0</v>
      </c>
      <c r="M469" s="213"/>
      <c r="N469" s="402">
        <f t="shared" si="138"/>
        <v>0</v>
      </c>
      <c r="O469" s="402">
        <f t="shared" si="139"/>
        <v>0</v>
      </c>
      <c r="P469" s="403"/>
      <c r="Q469" s="212"/>
      <c r="R469" s="213"/>
      <c r="S469" s="402">
        <f t="shared" si="141"/>
        <v>0</v>
      </c>
      <c r="T469" s="404">
        <f t="shared" si="142"/>
        <v>0</v>
      </c>
      <c r="U469" s="403"/>
      <c r="V469" s="144" t="str">
        <f>IF(T466&gt;0,"xx",IF(O466&gt;0,"xy",""))</f>
        <v/>
      </c>
      <c r="W469" s="43" t="str">
        <f t="shared" si="136"/>
        <v/>
      </c>
      <c r="X469" s="43" t="str">
        <f t="shared" si="146"/>
        <v/>
      </c>
      <c r="Y469" s="43" t="str">
        <f t="shared" si="128"/>
        <v/>
      </c>
    </row>
    <row r="470" spans="1:25" hidden="1">
      <c r="A470" s="155">
        <v>511000</v>
      </c>
      <c r="B470" s="156" t="s">
        <v>242</v>
      </c>
      <c r="C470" s="411" t="s">
        <v>378</v>
      </c>
      <c r="D470" s="351">
        <v>1</v>
      </c>
      <c r="E470" s="405">
        <v>0</v>
      </c>
      <c r="F470" s="406"/>
      <c r="G470" s="158">
        <v>0</v>
      </c>
      <c r="H470" s="465">
        <v>2.89</v>
      </c>
      <c r="I470" s="465">
        <f t="shared" si="147"/>
        <v>2.89</v>
      </c>
      <c r="J470" s="407">
        <f t="shared" si="137"/>
        <v>3.66</v>
      </c>
      <c r="K470" s="408" t="s">
        <v>18</v>
      </c>
      <c r="L470" s="152">
        <v>0</v>
      </c>
      <c r="M470" s="152"/>
      <c r="N470" s="402">
        <f t="shared" si="138"/>
        <v>0</v>
      </c>
      <c r="O470" s="402">
        <f t="shared" si="139"/>
        <v>0</v>
      </c>
      <c r="P470" s="403"/>
      <c r="Q470" s="152">
        <f t="shared" si="140"/>
        <v>0</v>
      </c>
      <c r="R470" s="152">
        <f t="shared" si="140"/>
        <v>0</v>
      </c>
      <c r="S470" s="402">
        <f t="shared" si="141"/>
        <v>0</v>
      </c>
      <c r="T470" s="404">
        <f t="shared" si="142"/>
        <v>0</v>
      </c>
      <c r="U470" s="403"/>
      <c r="W470" s="43" t="str">
        <f t="shared" si="136"/>
        <v/>
      </c>
      <c r="X470" s="43" t="str">
        <f t="shared" si="146"/>
        <v/>
      </c>
      <c r="Y470" s="43" t="str">
        <f t="shared" si="128"/>
        <v/>
      </c>
    </row>
    <row r="471" spans="1:25" hidden="1">
      <c r="A471" s="155">
        <v>511100</v>
      </c>
      <c r="B471" s="156" t="s">
        <v>242</v>
      </c>
      <c r="C471" s="411" t="s">
        <v>379</v>
      </c>
      <c r="D471" s="351">
        <v>1</v>
      </c>
      <c r="E471" s="405">
        <v>0</v>
      </c>
      <c r="F471" s="406">
        <v>0</v>
      </c>
      <c r="G471" s="158">
        <v>0</v>
      </c>
      <c r="H471" s="465">
        <v>2.38</v>
      </c>
      <c r="I471" s="465">
        <f t="shared" si="147"/>
        <v>2.38</v>
      </c>
      <c r="J471" s="407">
        <f t="shared" si="137"/>
        <v>3.02</v>
      </c>
      <c r="K471" s="408" t="s">
        <v>18</v>
      </c>
      <c r="L471" s="152">
        <v>0</v>
      </c>
      <c r="M471" s="152"/>
      <c r="N471" s="402">
        <f t="shared" si="138"/>
        <v>0</v>
      </c>
      <c r="O471" s="402">
        <f t="shared" si="139"/>
        <v>0</v>
      </c>
      <c r="P471" s="403"/>
      <c r="Q471" s="152">
        <f t="shared" si="140"/>
        <v>0</v>
      </c>
      <c r="R471" s="152">
        <f t="shared" si="140"/>
        <v>0</v>
      </c>
      <c r="S471" s="402">
        <f t="shared" si="141"/>
        <v>0</v>
      </c>
      <c r="T471" s="404">
        <f t="shared" si="142"/>
        <v>0</v>
      </c>
      <c r="U471" s="403"/>
      <c r="W471" s="43" t="str">
        <f t="shared" si="136"/>
        <v/>
      </c>
      <c r="X471" s="43" t="str">
        <f t="shared" si="146"/>
        <v/>
      </c>
      <c r="Y471" s="43" t="str">
        <f t="shared" si="128"/>
        <v/>
      </c>
    </row>
    <row r="472" spans="1:25" hidden="1">
      <c r="A472" s="155">
        <v>411000</v>
      </c>
      <c r="B472" s="156" t="s">
        <v>242</v>
      </c>
      <c r="C472" s="411" t="s">
        <v>380</v>
      </c>
      <c r="D472" s="351">
        <v>1</v>
      </c>
      <c r="E472" s="182">
        <v>1</v>
      </c>
      <c r="F472" s="161"/>
      <c r="G472" s="158"/>
      <c r="H472" s="457">
        <v>10.767999999999999</v>
      </c>
      <c r="I472" s="465">
        <f>IF(ISBLANK(H472),"",SUM(G472:H472))</f>
        <v>10.767999999999999</v>
      </c>
      <c r="J472" s="407">
        <f t="shared" si="137"/>
        <v>13.65</v>
      </c>
      <c r="K472" s="408" t="s">
        <v>16</v>
      </c>
      <c r="L472" s="152">
        <v>0</v>
      </c>
      <c r="M472" s="152"/>
      <c r="N472" s="402">
        <f t="shared" si="138"/>
        <v>0</v>
      </c>
      <c r="O472" s="402">
        <f t="shared" si="139"/>
        <v>0</v>
      </c>
      <c r="P472" s="403"/>
      <c r="Q472" s="152">
        <f t="shared" si="140"/>
        <v>0</v>
      </c>
      <c r="R472" s="152">
        <f t="shared" si="140"/>
        <v>0</v>
      </c>
      <c r="S472" s="402">
        <f t="shared" si="141"/>
        <v>0</v>
      </c>
      <c r="T472" s="404">
        <f t="shared" si="142"/>
        <v>0</v>
      </c>
      <c r="U472" s="403"/>
      <c r="W472" s="43" t="str">
        <f t="shared" si="136"/>
        <v/>
      </c>
      <c r="X472" s="43" t="str">
        <f t="shared" si="146"/>
        <v/>
      </c>
      <c r="Y472" s="43" t="str">
        <f t="shared" ref="Y472:Y626" si="151">IF(V472="X","x",IF(T472&gt;0,"x",""))</f>
        <v/>
      </c>
    </row>
    <row r="473" spans="1:25" hidden="1">
      <c r="A473" s="155">
        <v>520100</v>
      </c>
      <c r="B473" s="156" t="s">
        <v>242</v>
      </c>
      <c r="C473" s="411" t="s">
        <v>381</v>
      </c>
      <c r="D473" s="351">
        <v>1</v>
      </c>
      <c r="E473" s="182">
        <v>15</v>
      </c>
      <c r="F473" s="161">
        <v>1.875</v>
      </c>
      <c r="G473" s="412">
        <f t="shared" ref="G473:G480" si="152">IF(E473&lt;=30,(0.6*E473+1.25)*F473,((0.6*30+1.25)+0.5*(E473-30))*F473)</f>
        <v>19.21875</v>
      </c>
      <c r="H473" s="457">
        <v>9.4379999999999988</v>
      </c>
      <c r="I473" s="465">
        <f>IF(ISBLANK(H473),"",SUM(G473:H473))</f>
        <v>28.656749999999999</v>
      </c>
      <c r="J473" s="407">
        <f t="shared" si="137"/>
        <v>36.340000000000003</v>
      </c>
      <c r="K473" s="408" t="s">
        <v>16</v>
      </c>
      <c r="L473" s="152">
        <v>0</v>
      </c>
      <c r="M473" s="152"/>
      <c r="N473" s="402">
        <f t="shared" si="138"/>
        <v>0</v>
      </c>
      <c r="O473" s="402">
        <f t="shared" si="139"/>
        <v>0</v>
      </c>
      <c r="P473" s="403"/>
      <c r="Q473" s="152">
        <f t="shared" si="140"/>
        <v>0</v>
      </c>
      <c r="R473" s="152">
        <f t="shared" si="140"/>
        <v>0</v>
      </c>
      <c r="S473" s="402">
        <f t="shared" si="141"/>
        <v>0</v>
      </c>
      <c r="T473" s="404">
        <f t="shared" si="142"/>
        <v>0</v>
      </c>
      <c r="U473" s="403"/>
      <c r="W473" s="43" t="str">
        <f t="shared" si="136"/>
        <v/>
      </c>
      <c r="X473" s="43" t="str">
        <f t="shared" si="146"/>
        <v/>
      </c>
      <c r="Y473" s="43" t="str">
        <f t="shared" si="151"/>
        <v/>
      </c>
    </row>
    <row r="474" spans="1:25" hidden="1">
      <c r="A474" s="155">
        <v>533500</v>
      </c>
      <c r="B474" s="156" t="s">
        <v>242</v>
      </c>
      <c r="C474" s="411" t="s">
        <v>619</v>
      </c>
      <c r="D474" s="351">
        <v>1</v>
      </c>
      <c r="E474" s="182">
        <v>15</v>
      </c>
      <c r="F474" s="161">
        <v>1.95</v>
      </c>
      <c r="G474" s="412">
        <f t="shared" si="152"/>
        <v>19.987500000000001</v>
      </c>
      <c r="H474" s="465">
        <v>16.73</v>
      </c>
      <c r="I474" s="465">
        <f t="shared" ref="I474:I475" si="153">IF(ISBLANK(H474),"",SUM(G474:H474))</f>
        <v>36.717500000000001</v>
      </c>
      <c r="J474" s="407">
        <f t="shared" si="137"/>
        <v>46.56</v>
      </c>
      <c r="K474" s="408" t="s">
        <v>16</v>
      </c>
      <c r="L474" s="152">
        <v>0</v>
      </c>
      <c r="M474" s="152"/>
      <c r="N474" s="402">
        <f t="shared" si="138"/>
        <v>0</v>
      </c>
      <c r="O474" s="402">
        <f t="shared" si="139"/>
        <v>0</v>
      </c>
      <c r="P474" s="403"/>
      <c r="Q474" s="152">
        <f t="shared" si="140"/>
        <v>0</v>
      </c>
      <c r="R474" s="152">
        <f t="shared" si="140"/>
        <v>0</v>
      </c>
      <c r="S474" s="402">
        <f t="shared" si="141"/>
        <v>0</v>
      </c>
      <c r="T474" s="404">
        <f t="shared" si="142"/>
        <v>0</v>
      </c>
      <c r="U474" s="403"/>
      <c r="W474" s="43" t="str">
        <f t="shared" si="136"/>
        <v/>
      </c>
      <c r="X474" s="43" t="str">
        <f t="shared" si="146"/>
        <v/>
      </c>
      <c r="Y474" s="43" t="str">
        <f t="shared" si="151"/>
        <v/>
      </c>
    </row>
    <row r="475" spans="1:25" hidden="1">
      <c r="A475" s="155">
        <v>533100</v>
      </c>
      <c r="B475" s="156" t="s">
        <v>242</v>
      </c>
      <c r="C475" s="411" t="s">
        <v>636</v>
      </c>
      <c r="D475" s="351">
        <v>1</v>
      </c>
      <c r="E475" s="182">
        <v>15</v>
      </c>
      <c r="F475" s="161">
        <v>2.1</v>
      </c>
      <c r="G475" s="412">
        <f t="shared" si="152"/>
        <v>21.525000000000002</v>
      </c>
      <c r="H475" s="465">
        <v>19.52</v>
      </c>
      <c r="I475" s="465">
        <f t="shared" si="153"/>
        <v>41.045000000000002</v>
      </c>
      <c r="J475" s="407">
        <f t="shared" si="137"/>
        <v>52.05</v>
      </c>
      <c r="K475" s="408" t="s">
        <v>16</v>
      </c>
      <c r="L475" s="152">
        <v>0</v>
      </c>
      <c r="M475" s="152"/>
      <c r="N475" s="402">
        <f t="shared" si="138"/>
        <v>0</v>
      </c>
      <c r="O475" s="402">
        <f t="shared" si="139"/>
        <v>0</v>
      </c>
      <c r="P475" s="403"/>
      <c r="Q475" s="152">
        <f t="shared" si="140"/>
        <v>0</v>
      </c>
      <c r="R475" s="152">
        <f t="shared" si="140"/>
        <v>0</v>
      </c>
      <c r="S475" s="402">
        <f t="shared" si="141"/>
        <v>0</v>
      </c>
      <c r="T475" s="404">
        <f t="shared" si="142"/>
        <v>0</v>
      </c>
      <c r="U475" s="403"/>
      <c r="W475" s="43" t="str">
        <f t="shared" si="136"/>
        <v/>
      </c>
      <c r="X475" s="43" t="str">
        <f t="shared" si="146"/>
        <v/>
      </c>
      <c r="Y475" s="43" t="str">
        <f t="shared" si="151"/>
        <v/>
      </c>
    </row>
    <row r="476" spans="1:25" hidden="1">
      <c r="A476" s="155">
        <v>533100</v>
      </c>
      <c r="B476" s="156" t="s">
        <v>242</v>
      </c>
      <c r="C476" s="411" t="s">
        <v>382</v>
      </c>
      <c r="D476" s="351">
        <v>1</v>
      </c>
      <c r="E476" s="182">
        <v>15</v>
      </c>
      <c r="F476" s="161">
        <v>1.95</v>
      </c>
      <c r="G476" s="412">
        <f t="shared" si="152"/>
        <v>19.987500000000001</v>
      </c>
      <c r="H476" s="465">
        <v>19.52</v>
      </c>
      <c r="I476" s="465">
        <f>IF(ISBLANK(H476),"",SUM(G476:H476))</f>
        <v>39.5075</v>
      </c>
      <c r="J476" s="407">
        <f t="shared" si="137"/>
        <v>50.1</v>
      </c>
      <c r="K476" s="408" t="s">
        <v>16</v>
      </c>
      <c r="L476" s="152">
        <v>0</v>
      </c>
      <c r="M476" s="152"/>
      <c r="N476" s="402">
        <f t="shared" si="138"/>
        <v>0</v>
      </c>
      <c r="O476" s="402">
        <f t="shared" si="139"/>
        <v>0</v>
      </c>
      <c r="P476" s="403"/>
      <c r="Q476" s="152">
        <f t="shared" si="140"/>
        <v>0</v>
      </c>
      <c r="R476" s="152">
        <f t="shared" si="140"/>
        <v>0</v>
      </c>
      <c r="S476" s="402">
        <f t="shared" si="141"/>
        <v>0</v>
      </c>
      <c r="T476" s="404">
        <f t="shared" si="142"/>
        <v>0</v>
      </c>
      <c r="U476" s="403"/>
      <c r="W476" s="43" t="str">
        <f t="shared" si="136"/>
        <v/>
      </c>
      <c r="X476" s="43" t="str">
        <f t="shared" si="146"/>
        <v/>
      </c>
      <c r="Y476" s="43" t="str">
        <f t="shared" si="151"/>
        <v/>
      </c>
    </row>
    <row r="477" spans="1:25" hidden="1">
      <c r="A477" s="155">
        <v>530200</v>
      </c>
      <c r="B477" s="156" t="s">
        <v>242</v>
      </c>
      <c r="C477" s="411" t="s">
        <v>285</v>
      </c>
      <c r="D477" s="351">
        <v>1</v>
      </c>
      <c r="E477" s="182">
        <v>20</v>
      </c>
      <c r="F477" s="161">
        <v>2.2000000000000002</v>
      </c>
      <c r="G477" s="412">
        <f t="shared" si="152"/>
        <v>29.150000000000002</v>
      </c>
      <c r="H477" s="465">
        <v>66.12</v>
      </c>
      <c r="I477" s="465">
        <f>IF(ISBLANK(H477),"",SUM(G477:H477))*0.85</f>
        <v>80.979500000000002</v>
      </c>
      <c r="J477" s="407">
        <f t="shared" si="137"/>
        <v>102.68</v>
      </c>
      <c r="K477" s="408" t="s">
        <v>16</v>
      </c>
      <c r="L477" s="152">
        <v>0</v>
      </c>
      <c r="M477" s="152"/>
      <c r="N477" s="402">
        <f t="shared" si="138"/>
        <v>0</v>
      </c>
      <c r="O477" s="402">
        <f t="shared" si="139"/>
        <v>0</v>
      </c>
      <c r="P477" s="403"/>
      <c r="Q477" s="152">
        <f t="shared" si="140"/>
        <v>0</v>
      </c>
      <c r="R477" s="152">
        <f t="shared" si="140"/>
        <v>0</v>
      </c>
      <c r="S477" s="402">
        <f t="shared" si="141"/>
        <v>0</v>
      </c>
      <c r="T477" s="404">
        <f t="shared" si="142"/>
        <v>0</v>
      </c>
      <c r="U477" s="403"/>
      <c r="W477" s="43" t="str">
        <f t="shared" si="136"/>
        <v/>
      </c>
      <c r="X477" s="43" t="str">
        <f t="shared" si="146"/>
        <v/>
      </c>
      <c r="Y477" s="43" t="str">
        <f t="shared" si="151"/>
        <v/>
      </c>
    </row>
    <row r="478" spans="1:25" hidden="1">
      <c r="A478" s="155" t="s">
        <v>622</v>
      </c>
      <c r="B478" s="156" t="s">
        <v>626</v>
      </c>
      <c r="C478" s="411" t="s">
        <v>637</v>
      </c>
      <c r="D478" s="351">
        <v>1</v>
      </c>
      <c r="E478" s="182">
        <v>20</v>
      </c>
      <c r="F478" s="161">
        <v>1.95</v>
      </c>
      <c r="G478" s="412">
        <f t="shared" si="152"/>
        <v>25.837499999999999</v>
      </c>
      <c r="H478" s="465">
        <v>21.585576923076921</v>
      </c>
      <c r="I478" s="465">
        <f>IF(ISBLANK(H478),"",SUM(G478:H478))</f>
        <v>47.42307692307692</v>
      </c>
      <c r="J478" s="407">
        <f t="shared" si="137"/>
        <v>60.13</v>
      </c>
      <c r="K478" s="408" t="s">
        <v>16</v>
      </c>
      <c r="L478" s="152">
        <v>0</v>
      </c>
      <c r="M478" s="152"/>
      <c r="N478" s="402">
        <f t="shared" si="138"/>
        <v>0</v>
      </c>
      <c r="O478" s="402">
        <f t="shared" si="139"/>
        <v>0</v>
      </c>
      <c r="P478" s="403"/>
      <c r="Q478" s="152">
        <f t="shared" si="140"/>
        <v>0</v>
      </c>
      <c r="R478" s="152">
        <f t="shared" si="140"/>
        <v>0</v>
      </c>
      <c r="S478" s="402">
        <f t="shared" si="141"/>
        <v>0</v>
      </c>
      <c r="T478" s="404">
        <f t="shared" si="142"/>
        <v>0</v>
      </c>
      <c r="U478" s="403"/>
      <c r="W478" s="43" t="str">
        <f t="shared" si="136"/>
        <v/>
      </c>
      <c r="X478" s="43" t="str">
        <f t="shared" si="146"/>
        <v/>
      </c>
      <c r="Y478" s="43" t="str">
        <f t="shared" si="151"/>
        <v/>
      </c>
    </row>
    <row r="479" spans="1:25" hidden="1">
      <c r="A479" s="155" t="s">
        <v>623</v>
      </c>
      <c r="B479" s="156" t="s">
        <v>626</v>
      </c>
      <c r="C479" s="411" t="s">
        <v>638</v>
      </c>
      <c r="D479" s="351">
        <v>1</v>
      </c>
      <c r="E479" s="182">
        <v>20</v>
      </c>
      <c r="F479" s="161">
        <v>2.1</v>
      </c>
      <c r="G479" s="412">
        <f t="shared" si="152"/>
        <v>27.825000000000003</v>
      </c>
      <c r="H479" s="465">
        <v>23.836538461538453</v>
      </c>
      <c r="I479" s="465">
        <f>IF(ISBLANK(H479),"",SUM(G479:H479))</f>
        <v>51.661538461538456</v>
      </c>
      <c r="J479" s="407">
        <f t="shared" si="137"/>
        <v>65.510000000000005</v>
      </c>
      <c r="K479" s="408" t="s">
        <v>16</v>
      </c>
      <c r="L479" s="152">
        <v>0</v>
      </c>
      <c r="M479" s="152"/>
      <c r="N479" s="402">
        <f t="shared" si="138"/>
        <v>0</v>
      </c>
      <c r="O479" s="402">
        <f t="shared" si="139"/>
        <v>0</v>
      </c>
      <c r="P479" s="403"/>
      <c r="Q479" s="152">
        <f t="shared" si="140"/>
        <v>0</v>
      </c>
      <c r="R479" s="152">
        <f t="shared" si="140"/>
        <v>0</v>
      </c>
      <c r="S479" s="402">
        <f t="shared" si="141"/>
        <v>0</v>
      </c>
      <c r="T479" s="404">
        <f t="shared" si="142"/>
        <v>0</v>
      </c>
      <c r="U479" s="403"/>
      <c r="W479" s="43" t="str">
        <f t="shared" si="136"/>
        <v/>
      </c>
      <c r="X479" s="43" t="str">
        <f t="shared" si="146"/>
        <v/>
      </c>
      <c r="Y479" s="43" t="str">
        <f t="shared" si="151"/>
        <v/>
      </c>
    </row>
    <row r="480" spans="1:25" hidden="1">
      <c r="A480" s="155">
        <v>530200</v>
      </c>
      <c r="B480" s="156" t="s">
        <v>242</v>
      </c>
      <c r="C480" s="411" t="s">
        <v>639</v>
      </c>
      <c r="D480" s="351">
        <v>1</v>
      </c>
      <c r="E480" s="182">
        <v>20</v>
      </c>
      <c r="F480" s="161">
        <v>2.2000000000000002</v>
      </c>
      <c r="G480" s="412">
        <f t="shared" si="152"/>
        <v>29.150000000000002</v>
      </c>
      <c r="H480" s="465">
        <v>66.12</v>
      </c>
      <c r="I480" s="465">
        <f t="shared" ref="I480" si="154">IF(ISBLANK(H480),"",SUM(G480:H480))*0.85</f>
        <v>80.979500000000002</v>
      </c>
      <c r="J480" s="407">
        <f t="shared" si="137"/>
        <v>102.68</v>
      </c>
      <c r="K480" s="408" t="s">
        <v>16</v>
      </c>
      <c r="L480" s="152">
        <v>0</v>
      </c>
      <c r="M480" s="152"/>
      <c r="N480" s="402">
        <f t="shared" si="138"/>
        <v>0</v>
      </c>
      <c r="O480" s="402">
        <f t="shared" si="139"/>
        <v>0</v>
      </c>
      <c r="P480" s="403"/>
      <c r="Q480" s="152">
        <f t="shared" si="140"/>
        <v>0</v>
      </c>
      <c r="R480" s="152">
        <f t="shared" si="140"/>
        <v>0</v>
      </c>
      <c r="S480" s="402">
        <f t="shared" si="141"/>
        <v>0</v>
      </c>
      <c r="T480" s="404">
        <f t="shared" si="142"/>
        <v>0</v>
      </c>
      <c r="U480" s="403"/>
      <c r="W480" s="43" t="str">
        <f t="shared" si="136"/>
        <v/>
      </c>
      <c r="X480" s="43" t="str">
        <f t="shared" si="146"/>
        <v/>
      </c>
      <c r="Y480" s="43" t="str">
        <f t="shared" si="151"/>
        <v/>
      </c>
    </row>
    <row r="481" spans="1:25" hidden="1">
      <c r="A481" s="155" t="s">
        <v>1038</v>
      </c>
      <c r="B481" s="156" t="s">
        <v>242</v>
      </c>
      <c r="C481" s="411" t="s">
        <v>383</v>
      </c>
      <c r="D481" s="351">
        <v>1</v>
      </c>
      <c r="E481" s="405">
        <v>20</v>
      </c>
      <c r="F481" s="406">
        <v>2.4</v>
      </c>
      <c r="G481" s="412">
        <f>IF(E481&lt;=30,(0.6*E481+2.51)*F481,((0.6*30+2.51)+0.5*(E481-30))*F481)</f>
        <v>34.823999999999998</v>
      </c>
      <c r="H481" s="465">
        <v>86.75</v>
      </c>
      <c r="I481" s="465">
        <f>IF(ISBLANK(H481),"",SUM(G481:H481))*0.85</f>
        <v>103.33789999999999</v>
      </c>
      <c r="J481" s="407">
        <f t="shared" si="137"/>
        <v>131.03</v>
      </c>
      <c r="K481" s="408" t="s">
        <v>16</v>
      </c>
      <c r="L481" s="152">
        <v>0</v>
      </c>
      <c r="M481" s="152"/>
      <c r="N481" s="402">
        <f t="shared" si="138"/>
        <v>0</v>
      </c>
      <c r="O481" s="402">
        <f t="shared" si="139"/>
        <v>0</v>
      </c>
      <c r="P481" s="403"/>
      <c r="Q481" s="152">
        <f t="shared" si="140"/>
        <v>0</v>
      </c>
      <c r="R481" s="152">
        <f t="shared" si="140"/>
        <v>0</v>
      </c>
      <c r="S481" s="402">
        <f t="shared" si="141"/>
        <v>0</v>
      </c>
      <c r="T481" s="404">
        <f t="shared" si="142"/>
        <v>0</v>
      </c>
      <c r="U481" s="403"/>
      <c r="W481" s="43" t="str">
        <f t="shared" si="136"/>
        <v/>
      </c>
      <c r="X481" s="43" t="str">
        <f t="shared" si="146"/>
        <v/>
      </c>
      <c r="Y481" s="43" t="str">
        <f t="shared" si="151"/>
        <v/>
      </c>
    </row>
    <row r="482" spans="1:25" hidden="1">
      <c r="A482" s="409" t="s">
        <v>1039</v>
      </c>
      <c r="B482" s="183" t="s">
        <v>242</v>
      </c>
      <c r="C482" s="411" t="s">
        <v>597</v>
      </c>
      <c r="D482" s="351"/>
      <c r="E482" s="405">
        <v>500</v>
      </c>
      <c r="F482" s="161">
        <v>1.1999999999999999E-3</v>
      </c>
      <c r="G482" s="158">
        <f>(0.42*E482+20.61)*F482</f>
        <v>0.27673199999999998</v>
      </c>
      <c r="H482" s="465">
        <f>F482*1946.7*(1+$E$9)/(1+$E$10)+0.27</f>
        <v>2.4218097160883278</v>
      </c>
      <c r="I482" s="465">
        <f t="shared" ref="I482:I483" si="155">IF(ISBLANK(H482),"",SUM(G482:H482))</f>
        <v>2.6985417160883278</v>
      </c>
      <c r="J482" s="407">
        <f>IF(ISBLANK(H482),0,ROUND(I482*(1+$E$10)*(1+$E$11*D482),2))</f>
        <v>3.42</v>
      </c>
      <c r="K482" s="408" t="s">
        <v>18</v>
      </c>
      <c r="L482" s="152">
        <v>0</v>
      </c>
      <c r="M482" s="152"/>
      <c r="N482" s="402">
        <f t="shared" si="138"/>
        <v>0</v>
      </c>
      <c r="O482" s="402">
        <f t="shared" si="139"/>
        <v>0</v>
      </c>
      <c r="P482" s="403"/>
      <c r="Q482" s="152">
        <f t="shared" si="140"/>
        <v>0</v>
      </c>
      <c r="R482" s="152">
        <f t="shared" si="140"/>
        <v>0</v>
      </c>
      <c r="S482" s="402">
        <f t="shared" si="141"/>
        <v>0</v>
      </c>
      <c r="T482" s="404">
        <f>IF(ISBLANK(Q482),0,ROUND(Q482*R482,2))</f>
        <v>0</v>
      </c>
      <c r="U482" s="403"/>
      <c r="W482" s="43" t="str">
        <f t="shared" si="136"/>
        <v/>
      </c>
      <c r="X482" s="43" t="str">
        <f t="shared" si="146"/>
        <v/>
      </c>
      <c r="Y482" s="43" t="str">
        <f t="shared" si="151"/>
        <v/>
      </c>
    </row>
    <row r="483" spans="1:25" hidden="1">
      <c r="A483" s="409" t="s">
        <v>1040</v>
      </c>
      <c r="B483" s="183" t="s">
        <v>242</v>
      </c>
      <c r="C483" s="411" t="s">
        <v>1037</v>
      </c>
      <c r="D483" s="351"/>
      <c r="E483" s="405">
        <v>500</v>
      </c>
      <c r="F483" s="161">
        <v>1.1000000000000001E-3</v>
      </c>
      <c r="G483" s="158">
        <f>(0.42*E483+20.61)*F483</f>
        <v>0.25367100000000004</v>
      </c>
      <c r="H483" s="465">
        <f>F483*2690.38*(1+$E$9)/(1+$E$10)+0.27</f>
        <v>2.9960254132492117</v>
      </c>
      <c r="I483" s="465">
        <f t="shared" si="155"/>
        <v>3.2496964132492119</v>
      </c>
      <c r="J483" s="407">
        <f>IF(ISBLANK(H483),0,ROUND(I483*(1+$E$10)*(1+$E$11*D483),2))</f>
        <v>4.12</v>
      </c>
      <c r="K483" s="408" t="s">
        <v>18</v>
      </c>
      <c r="L483" s="152">
        <v>0</v>
      </c>
      <c r="M483" s="152"/>
      <c r="N483" s="402">
        <f t="shared" si="138"/>
        <v>0</v>
      </c>
      <c r="O483" s="402">
        <f t="shared" si="139"/>
        <v>0</v>
      </c>
      <c r="P483" s="403"/>
      <c r="Q483" s="152">
        <f t="shared" si="140"/>
        <v>0</v>
      </c>
      <c r="R483" s="152">
        <f t="shared" si="140"/>
        <v>0</v>
      </c>
      <c r="S483" s="402">
        <f t="shared" si="141"/>
        <v>0</v>
      </c>
      <c r="T483" s="404">
        <f>IF(ISBLANK(Q483),0,ROUND(Q483*R483,2))</f>
        <v>0</v>
      </c>
      <c r="U483" s="403"/>
      <c r="W483" s="43" t="str">
        <f t="shared" si="136"/>
        <v/>
      </c>
      <c r="X483" s="43" t="str">
        <f t="shared" si="146"/>
        <v/>
      </c>
      <c r="Y483" s="43" t="str">
        <f t="shared" si="151"/>
        <v/>
      </c>
    </row>
    <row r="484" spans="1:25" hidden="1">
      <c r="A484" s="155">
        <v>560400</v>
      </c>
      <c r="B484" s="156" t="s">
        <v>242</v>
      </c>
      <c r="C484" s="411" t="s">
        <v>384</v>
      </c>
      <c r="D484" s="351">
        <v>1</v>
      </c>
      <c r="E484" s="405">
        <v>500</v>
      </c>
      <c r="F484" s="161">
        <v>1.1999999999999999E-3</v>
      </c>
      <c r="G484" s="158">
        <f>(0.42*E484+20.61)*F484</f>
        <v>0.27673199999999998</v>
      </c>
      <c r="H484" s="465">
        <f>F484*3514.38*(1+$E$9)/(1+$E$10)+0.27</f>
        <v>4.1546648328075708</v>
      </c>
      <c r="I484" s="465">
        <f>IF(ISBLANK(H484),"",SUM(G484:H484))</f>
        <v>4.4313968328075708</v>
      </c>
      <c r="J484" s="407">
        <f t="shared" si="137"/>
        <v>5.62</v>
      </c>
      <c r="K484" s="408" t="s">
        <v>18</v>
      </c>
      <c r="L484" s="152">
        <v>0</v>
      </c>
      <c r="M484" s="152"/>
      <c r="N484" s="402">
        <f t="shared" si="138"/>
        <v>0</v>
      </c>
      <c r="O484" s="402">
        <f t="shared" si="139"/>
        <v>0</v>
      </c>
      <c r="P484" s="403"/>
      <c r="Q484" s="152">
        <f t="shared" si="140"/>
        <v>0</v>
      </c>
      <c r="R484" s="152">
        <f t="shared" si="140"/>
        <v>0</v>
      </c>
      <c r="S484" s="402">
        <f t="shared" si="141"/>
        <v>0</v>
      </c>
      <c r="T484" s="404">
        <f t="shared" si="142"/>
        <v>0</v>
      </c>
      <c r="U484" s="403"/>
      <c r="W484" s="43" t="str">
        <f t="shared" si="136"/>
        <v/>
      </c>
      <c r="X484" s="43" t="str">
        <f t="shared" si="146"/>
        <v/>
      </c>
      <c r="Y484" s="43" t="str">
        <f t="shared" si="151"/>
        <v/>
      </c>
    </row>
    <row r="485" spans="1:25" hidden="1">
      <c r="A485" s="155">
        <v>561100</v>
      </c>
      <c r="B485" s="156" t="s">
        <v>242</v>
      </c>
      <c r="C485" s="411" t="s">
        <v>385</v>
      </c>
      <c r="D485" s="351">
        <v>1</v>
      </c>
      <c r="E485" s="182">
        <v>500</v>
      </c>
      <c r="F485" s="161">
        <v>5.0000000000000001E-4</v>
      </c>
      <c r="G485" s="158">
        <f>(0.42*E485+20.61)*F485</f>
        <v>0.115305</v>
      </c>
      <c r="H485" s="465">
        <f>F485*1946.7*(1+$E$9)/(1+$E$10)+0.18</f>
        <v>1.0765873817034699</v>
      </c>
      <c r="I485" s="465">
        <f>IF(ISBLANK(H485),"",SUM(G485:H485))</f>
        <v>1.1918923817034699</v>
      </c>
      <c r="J485" s="407">
        <f t="shared" si="137"/>
        <v>1.51</v>
      </c>
      <c r="K485" s="408" t="s">
        <v>18</v>
      </c>
      <c r="L485" s="152">
        <v>0</v>
      </c>
      <c r="M485" s="152"/>
      <c r="N485" s="402">
        <f t="shared" si="138"/>
        <v>0</v>
      </c>
      <c r="O485" s="402">
        <f t="shared" si="139"/>
        <v>0</v>
      </c>
      <c r="P485" s="403"/>
      <c r="Q485" s="152">
        <f t="shared" si="140"/>
        <v>0</v>
      </c>
      <c r="R485" s="152">
        <f t="shared" si="140"/>
        <v>0</v>
      </c>
      <c r="S485" s="402">
        <f t="shared" si="141"/>
        <v>0</v>
      </c>
      <c r="T485" s="404">
        <f t="shared" si="142"/>
        <v>0</v>
      </c>
      <c r="U485" s="403"/>
      <c r="W485" s="43" t="str">
        <f t="shared" si="136"/>
        <v/>
      </c>
      <c r="X485" s="43" t="str">
        <f t="shared" si="146"/>
        <v/>
      </c>
      <c r="Y485" s="43" t="str">
        <f t="shared" si="151"/>
        <v/>
      </c>
    </row>
    <row r="486" spans="1:25" hidden="1">
      <c r="A486" s="155">
        <v>563100</v>
      </c>
      <c r="B486" s="156" t="s">
        <v>242</v>
      </c>
      <c r="C486" s="411" t="s">
        <v>386</v>
      </c>
      <c r="D486" s="351">
        <v>1</v>
      </c>
      <c r="E486" s="405" t="s">
        <v>17</v>
      </c>
      <c r="F486" s="406" t="s">
        <v>17</v>
      </c>
      <c r="G486" s="158">
        <f>SUM(G487:G488)</f>
        <v>0.20805499999999999</v>
      </c>
      <c r="H486" s="465">
        <f>F487*2071.11*(1+$E$9)/(1+$E$10)+0.73</f>
        <v>1.6838866246056783</v>
      </c>
      <c r="I486" s="465">
        <f t="shared" ref="I486:I517" si="156">IF(ISBLANK(H486),"",SUM(G486:H486))</f>
        <v>1.8919416246056784</v>
      </c>
      <c r="J486" s="407">
        <f t="shared" si="137"/>
        <v>2.4</v>
      </c>
      <c r="K486" s="408" t="s">
        <v>18</v>
      </c>
      <c r="L486" s="152">
        <v>0</v>
      </c>
      <c r="M486" s="152"/>
      <c r="N486" s="402">
        <f t="shared" si="138"/>
        <v>0</v>
      </c>
      <c r="O486" s="402">
        <f t="shared" si="139"/>
        <v>0</v>
      </c>
      <c r="P486" s="403"/>
      <c r="Q486" s="152">
        <f t="shared" si="140"/>
        <v>0</v>
      </c>
      <c r="R486" s="152">
        <f t="shared" si="140"/>
        <v>0</v>
      </c>
      <c r="S486" s="402">
        <f t="shared" si="141"/>
        <v>0</v>
      </c>
      <c r="T486" s="404">
        <f t="shared" si="142"/>
        <v>0</v>
      </c>
      <c r="U486" s="403"/>
      <c r="W486" s="43" t="str">
        <f t="shared" si="136"/>
        <v/>
      </c>
      <c r="X486" s="43" t="str">
        <f t="shared" si="146"/>
        <v/>
      </c>
      <c r="Y486" s="43" t="str">
        <f t="shared" si="151"/>
        <v/>
      </c>
    </row>
    <row r="487" spans="1:25" hidden="1">
      <c r="A487" s="155">
        <v>173050</v>
      </c>
      <c r="B487" s="156"/>
      <c r="C487" s="348" t="s">
        <v>322</v>
      </c>
      <c r="D487" s="157"/>
      <c r="E487" s="405">
        <v>500</v>
      </c>
      <c r="F487" s="406">
        <v>5.0000000000000001E-4</v>
      </c>
      <c r="G487" s="162">
        <f>(0.42*E487+20.61)*F487</f>
        <v>0.115305</v>
      </c>
      <c r="H487" s="465"/>
      <c r="I487" s="465" t="str">
        <f t="shared" si="156"/>
        <v/>
      </c>
      <c r="J487" s="407">
        <f t="shared" si="137"/>
        <v>0</v>
      </c>
      <c r="K487" s="394" t="s">
        <v>1029</v>
      </c>
      <c r="L487" s="152">
        <v>0</v>
      </c>
      <c r="M487" s="213"/>
      <c r="N487" s="402">
        <f t="shared" si="138"/>
        <v>0</v>
      </c>
      <c r="O487" s="402">
        <f t="shared" si="139"/>
        <v>0</v>
      </c>
      <c r="P487" s="403"/>
      <c r="Q487" s="212"/>
      <c r="R487" s="213"/>
      <c r="S487" s="402">
        <f t="shared" si="141"/>
        <v>0</v>
      </c>
      <c r="T487" s="404">
        <f t="shared" si="142"/>
        <v>0</v>
      </c>
      <c r="U487" s="403"/>
      <c r="V487" s="144" t="str">
        <f>IF(T486&gt;0,"xx",IF(O486&gt;0,"xy",""))</f>
        <v/>
      </c>
      <c r="W487" s="43" t="str">
        <f t="shared" si="136"/>
        <v/>
      </c>
      <c r="X487" s="43" t="str">
        <f t="shared" si="146"/>
        <v/>
      </c>
      <c r="Y487" s="43" t="str">
        <f t="shared" si="151"/>
        <v/>
      </c>
    </row>
    <row r="488" spans="1:25" hidden="1">
      <c r="A488" s="155" t="s">
        <v>183</v>
      </c>
      <c r="B488" s="156"/>
      <c r="C488" s="348" t="s">
        <v>323</v>
      </c>
      <c r="D488" s="157"/>
      <c r="E488" s="182">
        <v>20</v>
      </c>
      <c r="F488" s="406">
        <v>7.0000000000000001E-3</v>
      </c>
      <c r="G488" s="412">
        <f>IF(E488&lt;=30,(0.6*E488+1.25)*F488,((0.6*30+1.25)+0.5*(E488-30))*F488)</f>
        <v>9.2749999999999999E-2</v>
      </c>
      <c r="H488" s="465"/>
      <c r="I488" s="465" t="str">
        <f t="shared" si="156"/>
        <v/>
      </c>
      <c r="J488" s="407">
        <f t="shared" si="137"/>
        <v>0</v>
      </c>
      <c r="K488" s="394" t="s">
        <v>1029</v>
      </c>
      <c r="L488" s="152">
        <v>0</v>
      </c>
      <c r="M488" s="213"/>
      <c r="N488" s="402">
        <f t="shared" si="138"/>
        <v>0</v>
      </c>
      <c r="O488" s="402">
        <f t="shared" si="139"/>
        <v>0</v>
      </c>
      <c r="P488" s="403"/>
      <c r="Q488" s="212"/>
      <c r="R488" s="213"/>
      <c r="S488" s="402">
        <f t="shared" si="141"/>
        <v>0</v>
      </c>
      <c r="T488" s="404">
        <f t="shared" si="142"/>
        <v>0</v>
      </c>
      <c r="U488" s="403"/>
      <c r="V488" s="144" t="str">
        <f>IF(T486&gt;0,"xx",IF(O486&gt;0,"xy",""))</f>
        <v/>
      </c>
      <c r="W488" s="43" t="str">
        <f t="shared" si="136"/>
        <v/>
      </c>
      <c r="X488" s="43" t="str">
        <f t="shared" si="146"/>
        <v/>
      </c>
      <c r="Y488" s="43" t="str">
        <f t="shared" si="151"/>
        <v/>
      </c>
    </row>
    <row r="489" spans="1:25" hidden="1">
      <c r="A489" s="155">
        <v>534000</v>
      </c>
      <c r="B489" s="156" t="s">
        <v>242</v>
      </c>
      <c r="C489" s="411" t="s">
        <v>335</v>
      </c>
      <c r="D489" s="351">
        <v>1</v>
      </c>
      <c r="E489" s="405" t="s">
        <v>17</v>
      </c>
      <c r="F489" s="406" t="s">
        <v>17</v>
      </c>
      <c r="G489" s="158">
        <f>SUM(G490:G492)</f>
        <v>50.370800000000003</v>
      </c>
      <c r="H489" s="465">
        <f>F490*2346.03*(1+$E$9)/(1+$E$10)+91.72</f>
        <v>264.60094889589902</v>
      </c>
      <c r="I489" s="465">
        <f t="shared" si="156"/>
        <v>314.97174889589905</v>
      </c>
      <c r="J489" s="407">
        <f t="shared" si="137"/>
        <v>399.38</v>
      </c>
      <c r="K489" s="408" t="s">
        <v>16</v>
      </c>
      <c r="L489" s="152">
        <v>0</v>
      </c>
      <c r="M489" s="152"/>
      <c r="N489" s="402">
        <f t="shared" si="138"/>
        <v>0</v>
      </c>
      <c r="O489" s="402">
        <f t="shared" si="139"/>
        <v>0</v>
      </c>
      <c r="P489" s="403"/>
      <c r="Q489" s="152">
        <f t="shared" si="140"/>
        <v>0</v>
      </c>
      <c r="R489" s="152">
        <f t="shared" si="140"/>
        <v>0</v>
      </c>
      <c r="S489" s="402">
        <f t="shared" si="141"/>
        <v>0</v>
      </c>
      <c r="T489" s="404">
        <f t="shared" si="142"/>
        <v>0</v>
      </c>
      <c r="U489" s="403"/>
      <c r="V489" s="144"/>
      <c r="W489" s="43" t="str">
        <f t="shared" si="136"/>
        <v/>
      </c>
      <c r="X489" s="43" t="str">
        <f t="shared" si="146"/>
        <v/>
      </c>
      <c r="Y489" s="43" t="str">
        <f t="shared" si="151"/>
        <v/>
      </c>
    </row>
    <row r="490" spans="1:25" hidden="1">
      <c r="A490" s="155">
        <v>173020</v>
      </c>
      <c r="B490" s="156"/>
      <c r="C490" s="348" t="s">
        <v>336</v>
      </c>
      <c r="D490" s="157"/>
      <c r="E490" s="405">
        <v>500</v>
      </c>
      <c r="F490" s="406">
        <v>0.08</v>
      </c>
      <c r="G490" s="162">
        <f>(0.42*E490+20.61)*F490</f>
        <v>18.448800000000002</v>
      </c>
      <c r="H490" s="465"/>
      <c r="I490" s="465" t="str">
        <f t="shared" si="156"/>
        <v/>
      </c>
      <c r="J490" s="407">
        <f t="shared" si="137"/>
        <v>0</v>
      </c>
      <c r="K490" s="394" t="s">
        <v>1029</v>
      </c>
      <c r="L490" s="152">
        <v>0</v>
      </c>
      <c r="M490" s="213"/>
      <c r="N490" s="402">
        <f t="shared" si="138"/>
        <v>0</v>
      </c>
      <c r="O490" s="402">
        <f t="shared" si="139"/>
        <v>0</v>
      </c>
      <c r="P490" s="403"/>
      <c r="Q490" s="212"/>
      <c r="R490" s="213"/>
      <c r="S490" s="402">
        <f t="shared" si="141"/>
        <v>0</v>
      </c>
      <c r="T490" s="404">
        <f t="shared" si="142"/>
        <v>0</v>
      </c>
      <c r="U490" s="403"/>
      <c r="V490" s="144" t="str">
        <f>IF(T489&gt;0,"xx",IF(O489&gt;0,"xy",""))</f>
        <v/>
      </c>
      <c r="W490" s="43" t="str">
        <f t="shared" si="136"/>
        <v/>
      </c>
      <c r="X490" s="43" t="str">
        <f t="shared" si="146"/>
        <v/>
      </c>
      <c r="Y490" s="43" t="str">
        <f t="shared" si="151"/>
        <v/>
      </c>
    </row>
    <row r="491" spans="1:25" hidden="1">
      <c r="A491" s="155" t="s">
        <v>183</v>
      </c>
      <c r="B491" s="156"/>
      <c r="C491" s="348" t="s">
        <v>337</v>
      </c>
      <c r="D491" s="157"/>
      <c r="E491" s="405"/>
      <c r="F491" s="406">
        <v>2.02</v>
      </c>
      <c r="G491" s="158">
        <f>IF(E491=0,0,IF(E491&lt;=30,(0.6*E491+1.25)*F491,((0.6*30+1.25)+0.5*(E491-30))*F491))</f>
        <v>0</v>
      </c>
      <c r="H491" s="465"/>
      <c r="I491" s="465" t="str">
        <f t="shared" si="156"/>
        <v/>
      </c>
      <c r="J491" s="407">
        <f t="shared" si="137"/>
        <v>0</v>
      </c>
      <c r="K491" s="394" t="s">
        <v>1029</v>
      </c>
      <c r="L491" s="152">
        <v>0</v>
      </c>
      <c r="M491" s="213"/>
      <c r="N491" s="402">
        <f t="shared" si="138"/>
        <v>0</v>
      </c>
      <c r="O491" s="402">
        <f t="shared" si="139"/>
        <v>0</v>
      </c>
      <c r="P491" s="403"/>
      <c r="Q491" s="212"/>
      <c r="R491" s="213"/>
      <c r="S491" s="402">
        <f t="shared" si="141"/>
        <v>0</v>
      </c>
      <c r="T491" s="404">
        <f t="shared" si="142"/>
        <v>0</v>
      </c>
      <c r="U491" s="403"/>
      <c r="V491" s="144" t="str">
        <f>IF(T489&gt;0,"xx",IF(O489&gt;0,"xy",""))</f>
        <v/>
      </c>
      <c r="W491" s="43" t="str">
        <f t="shared" si="136"/>
        <v/>
      </c>
      <c r="X491" s="43" t="str">
        <f t="shared" si="146"/>
        <v/>
      </c>
      <c r="Y491" s="43" t="str">
        <f t="shared" si="151"/>
        <v/>
      </c>
    </row>
    <row r="492" spans="1:25" hidden="1">
      <c r="A492" s="155" t="s">
        <v>183</v>
      </c>
      <c r="B492" s="156"/>
      <c r="C492" s="348" t="s">
        <v>338</v>
      </c>
      <c r="D492" s="157"/>
      <c r="E492" s="405">
        <v>20</v>
      </c>
      <c r="F492" s="406">
        <v>2.2000000000000002</v>
      </c>
      <c r="G492" s="158">
        <f>IF(E492&lt;=30,(0.6*E492+2.51)*F492,((0.6*30+2.51)+0.5*(E492-30))*F492)</f>
        <v>31.922000000000001</v>
      </c>
      <c r="H492" s="465"/>
      <c r="I492" s="465" t="str">
        <f t="shared" si="156"/>
        <v/>
      </c>
      <c r="J492" s="407">
        <f t="shared" si="137"/>
        <v>0</v>
      </c>
      <c r="K492" s="394" t="s">
        <v>1029</v>
      </c>
      <c r="L492" s="152">
        <v>0</v>
      </c>
      <c r="M492" s="213"/>
      <c r="N492" s="402">
        <f t="shared" si="138"/>
        <v>0</v>
      </c>
      <c r="O492" s="402">
        <f t="shared" si="139"/>
        <v>0</v>
      </c>
      <c r="P492" s="403"/>
      <c r="Q492" s="212"/>
      <c r="R492" s="213"/>
      <c r="S492" s="402">
        <f t="shared" si="141"/>
        <v>0</v>
      </c>
      <c r="T492" s="404">
        <f t="shared" si="142"/>
        <v>0</v>
      </c>
      <c r="U492" s="403"/>
      <c r="V492" s="144" t="str">
        <f>IF(T489&gt;0,"xx",IF(O489&gt;0,"xy",""))</f>
        <v/>
      </c>
      <c r="W492" s="43" t="str">
        <f t="shared" si="136"/>
        <v/>
      </c>
      <c r="X492" s="43" t="str">
        <f t="shared" si="146"/>
        <v/>
      </c>
      <c r="Y492" s="43" t="str">
        <f t="shared" si="151"/>
        <v/>
      </c>
    </row>
    <row r="493" spans="1:25" hidden="1">
      <c r="A493" s="155">
        <v>534300</v>
      </c>
      <c r="B493" s="156" t="s">
        <v>242</v>
      </c>
      <c r="C493" s="411" t="s">
        <v>339</v>
      </c>
      <c r="D493" s="351">
        <v>1</v>
      </c>
      <c r="E493" s="405" t="s">
        <v>17</v>
      </c>
      <c r="F493" s="406" t="s">
        <v>17</v>
      </c>
      <c r="G493" s="158">
        <f>SUM(G494:G496)</f>
        <v>57.289100000000005</v>
      </c>
      <c r="H493" s="465">
        <f>F494*2346.03*(1+$E$9)/(1+$E$10)+90.71</f>
        <v>328.4213047318612</v>
      </c>
      <c r="I493" s="465">
        <f t="shared" si="156"/>
        <v>385.71040473186122</v>
      </c>
      <c r="J493" s="407">
        <f t="shared" si="137"/>
        <v>489.08</v>
      </c>
      <c r="K493" s="408" t="s">
        <v>16</v>
      </c>
      <c r="L493" s="152">
        <v>0</v>
      </c>
      <c r="M493" s="152"/>
      <c r="N493" s="402">
        <f t="shared" si="138"/>
        <v>0</v>
      </c>
      <c r="O493" s="402">
        <f t="shared" si="139"/>
        <v>0</v>
      </c>
      <c r="P493" s="403"/>
      <c r="Q493" s="152">
        <f t="shared" si="140"/>
        <v>0</v>
      </c>
      <c r="R493" s="152">
        <f t="shared" si="140"/>
        <v>0</v>
      </c>
      <c r="S493" s="402">
        <f t="shared" si="141"/>
        <v>0</v>
      </c>
      <c r="T493" s="404">
        <f t="shared" si="142"/>
        <v>0</v>
      </c>
      <c r="U493" s="403"/>
      <c r="W493" s="43" t="str">
        <f t="shared" si="136"/>
        <v/>
      </c>
      <c r="X493" s="43" t="str">
        <f t="shared" si="146"/>
        <v/>
      </c>
      <c r="Y493" s="43" t="str">
        <f t="shared" si="151"/>
        <v/>
      </c>
    </row>
    <row r="494" spans="1:25" hidden="1">
      <c r="A494" s="155">
        <v>173020</v>
      </c>
      <c r="B494" s="156"/>
      <c r="C494" s="348" t="s">
        <v>336</v>
      </c>
      <c r="D494" s="157"/>
      <c r="E494" s="405">
        <v>500</v>
      </c>
      <c r="F494" s="406">
        <v>0.11</v>
      </c>
      <c r="G494" s="162">
        <f>(0.42*E494+20.61)*F494</f>
        <v>25.367100000000001</v>
      </c>
      <c r="H494" s="465"/>
      <c r="I494" s="465" t="str">
        <f t="shared" si="156"/>
        <v/>
      </c>
      <c r="J494" s="407">
        <f t="shared" si="137"/>
        <v>0</v>
      </c>
      <c r="K494" s="394" t="s">
        <v>1029</v>
      </c>
      <c r="L494" s="152">
        <v>0</v>
      </c>
      <c r="M494" s="213"/>
      <c r="N494" s="402">
        <f t="shared" si="138"/>
        <v>0</v>
      </c>
      <c r="O494" s="402">
        <f t="shared" si="139"/>
        <v>0</v>
      </c>
      <c r="P494" s="403"/>
      <c r="Q494" s="212"/>
      <c r="R494" s="213"/>
      <c r="S494" s="402">
        <f t="shared" si="141"/>
        <v>0</v>
      </c>
      <c r="T494" s="404">
        <f t="shared" si="142"/>
        <v>0</v>
      </c>
      <c r="U494" s="403"/>
      <c r="V494" s="144" t="str">
        <f>IF(T493&gt;0,"xx",IF(O493&gt;0,"xy",""))</f>
        <v/>
      </c>
      <c r="W494" s="43" t="str">
        <f t="shared" si="136"/>
        <v/>
      </c>
      <c r="X494" s="43" t="str">
        <f t="shared" si="146"/>
        <v/>
      </c>
      <c r="Y494" s="43" t="str">
        <f t="shared" si="151"/>
        <v/>
      </c>
    </row>
    <row r="495" spans="1:25" hidden="1">
      <c r="A495" s="155" t="s">
        <v>183</v>
      </c>
      <c r="B495" s="156"/>
      <c r="C495" s="348" t="s">
        <v>337</v>
      </c>
      <c r="D495" s="157"/>
      <c r="E495" s="405"/>
      <c r="F495" s="406">
        <v>2.09</v>
      </c>
      <c r="G495" s="158">
        <f>IF(E495=0,0,IF(E495&lt;=30,(0.6*E495+1.25)*F495,((0.6*30+1.25)+0.5*(E495-30))*F495))</f>
        <v>0</v>
      </c>
      <c r="H495" s="465"/>
      <c r="I495" s="465" t="str">
        <f t="shared" si="156"/>
        <v/>
      </c>
      <c r="J495" s="407">
        <f t="shared" si="137"/>
        <v>0</v>
      </c>
      <c r="K495" s="394" t="s">
        <v>1029</v>
      </c>
      <c r="L495" s="152">
        <v>0</v>
      </c>
      <c r="M495" s="213"/>
      <c r="N495" s="402">
        <f t="shared" si="138"/>
        <v>0</v>
      </c>
      <c r="O495" s="402">
        <f t="shared" si="139"/>
        <v>0</v>
      </c>
      <c r="P495" s="403"/>
      <c r="Q495" s="212"/>
      <c r="R495" s="213"/>
      <c r="S495" s="402">
        <f t="shared" si="141"/>
        <v>0</v>
      </c>
      <c r="T495" s="404">
        <f t="shared" si="142"/>
        <v>0</v>
      </c>
      <c r="U495" s="403"/>
      <c r="V495" s="144" t="str">
        <f>IF(T493&gt;0,"xx",IF(O493&gt;0,"xy",""))</f>
        <v/>
      </c>
      <c r="W495" s="43" t="str">
        <f t="shared" ref="W495:W558" si="157">IF(V495="X","x",IF(V495="xx","x",IF(V495="xy","x",IF(V495="y","x",IF(OR(O495&gt;0,T495&gt;0),"x","")))))</f>
        <v/>
      </c>
      <c r="X495" s="43" t="str">
        <f t="shared" si="146"/>
        <v/>
      </c>
      <c r="Y495" s="43" t="str">
        <f t="shared" si="151"/>
        <v/>
      </c>
    </row>
    <row r="496" spans="1:25" hidden="1">
      <c r="A496" s="155" t="s">
        <v>183</v>
      </c>
      <c r="B496" s="156"/>
      <c r="C496" s="348" t="s">
        <v>338</v>
      </c>
      <c r="D496" s="157"/>
      <c r="E496" s="405">
        <v>20</v>
      </c>
      <c r="F496" s="406">
        <v>2.2000000000000002</v>
      </c>
      <c r="G496" s="158">
        <f>IF(E496&lt;=30,(0.6*E496+2.51)*F496,((0.6*30+2.51)+0.5*(E496-30))*F496)</f>
        <v>31.922000000000001</v>
      </c>
      <c r="H496" s="465"/>
      <c r="I496" s="465" t="str">
        <f t="shared" si="156"/>
        <v/>
      </c>
      <c r="J496" s="407">
        <f t="shared" si="137"/>
        <v>0</v>
      </c>
      <c r="K496" s="394" t="s">
        <v>1029</v>
      </c>
      <c r="L496" s="152">
        <v>0</v>
      </c>
      <c r="M496" s="213"/>
      <c r="N496" s="402">
        <f t="shared" si="138"/>
        <v>0</v>
      </c>
      <c r="O496" s="402">
        <f t="shared" si="139"/>
        <v>0</v>
      </c>
      <c r="P496" s="403"/>
      <c r="Q496" s="212"/>
      <c r="R496" s="213"/>
      <c r="S496" s="402">
        <f t="shared" si="141"/>
        <v>0</v>
      </c>
      <c r="T496" s="404">
        <f t="shared" si="142"/>
        <v>0</v>
      </c>
      <c r="U496" s="403"/>
      <c r="V496" s="144" t="str">
        <f>IF(T493&gt;0,"xx",IF(O493&gt;0,"xy",""))</f>
        <v/>
      </c>
      <c r="W496" s="43" t="str">
        <f t="shared" si="157"/>
        <v/>
      </c>
      <c r="X496" s="43" t="str">
        <f t="shared" si="146"/>
        <v/>
      </c>
      <c r="Y496" s="43" t="str">
        <f t="shared" si="151"/>
        <v/>
      </c>
    </row>
    <row r="497" spans="1:25" hidden="1">
      <c r="A497" s="155" t="s">
        <v>174</v>
      </c>
      <c r="B497" s="156" t="s">
        <v>242</v>
      </c>
      <c r="C497" s="411" t="s">
        <v>340</v>
      </c>
      <c r="D497" s="351">
        <v>1</v>
      </c>
      <c r="E497" s="405" t="s">
        <v>17</v>
      </c>
      <c r="F497" s="406" t="s">
        <v>17</v>
      </c>
      <c r="G497" s="158">
        <f>SUM(G498:G501)</f>
        <v>91.105899999999991</v>
      </c>
      <c r="H497" s="465">
        <f>F498*2346.03*(1+$E$9)/(1+$E$10)+124.93</f>
        <v>427.47166056782339</v>
      </c>
      <c r="I497" s="465">
        <f t="shared" si="156"/>
        <v>518.57756056782341</v>
      </c>
      <c r="J497" s="407">
        <f t="shared" si="137"/>
        <v>657.56</v>
      </c>
      <c r="K497" s="408" t="s">
        <v>16</v>
      </c>
      <c r="L497" s="152">
        <v>0</v>
      </c>
      <c r="M497" s="152"/>
      <c r="N497" s="402">
        <f t="shared" si="138"/>
        <v>0</v>
      </c>
      <c r="O497" s="402">
        <f t="shared" si="139"/>
        <v>0</v>
      </c>
      <c r="P497" s="403"/>
      <c r="Q497" s="152">
        <f t="shared" si="140"/>
        <v>0</v>
      </c>
      <c r="R497" s="152">
        <f t="shared" si="140"/>
        <v>0</v>
      </c>
      <c r="S497" s="402">
        <f t="shared" si="141"/>
        <v>0</v>
      </c>
      <c r="T497" s="404">
        <f t="shared" si="142"/>
        <v>0</v>
      </c>
      <c r="U497" s="403"/>
      <c r="W497" s="43" t="str">
        <f t="shared" si="157"/>
        <v/>
      </c>
      <c r="X497" s="43" t="str">
        <f t="shared" si="146"/>
        <v/>
      </c>
      <c r="Y497" s="43" t="str">
        <f t="shared" si="151"/>
        <v/>
      </c>
    </row>
    <row r="498" spans="1:25" hidden="1">
      <c r="A498" s="155">
        <v>173020</v>
      </c>
      <c r="B498" s="156"/>
      <c r="C498" s="348" t="s">
        <v>336</v>
      </c>
      <c r="D498" s="157"/>
      <c r="E498" s="405">
        <v>500</v>
      </c>
      <c r="F498" s="406">
        <v>0.14000000000000001</v>
      </c>
      <c r="G498" s="162">
        <f>(0.42*E498+20.61)*F498</f>
        <v>32.285400000000003</v>
      </c>
      <c r="H498" s="465"/>
      <c r="I498" s="465" t="str">
        <f t="shared" si="156"/>
        <v/>
      </c>
      <c r="J498" s="407">
        <f t="shared" si="137"/>
        <v>0</v>
      </c>
      <c r="K498" s="394" t="s">
        <v>1029</v>
      </c>
      <c r="L498" s="152">
        <v>0</v>
      </c>
      <c r="M498" s="213"/>
      <c r="N498" s="402">
        <f t="shared" si="138"/>
        <v>0</v>
      </c>
      <c r="O498" s="402">
        <f t="shared" si="139"/>
        <v>0</v>
      </c>
      <c r="P498" s="403"/>
      <c r="Q498" s="212"/>
      <c r="R498" s="213"/>
      <c r="S498" s="402">
        <f t="shared" si="141"/>
        <v>0</v>
      </c>
      <c r="T498" s="404">
        <f t="shared" si="142"/>
        <v>0</v>
      </c>
      <c r="U498" s="403"/>
      <c r="V498" s="144" t="str">
        <f>IF(T497&gt;0,"xx",IF(O497&gt;0,"xy",""))</f>
        <v/>
      </c>
      <c r="W498" s="43" t="str">
        <f t="shared" si="157"/>
        <v/>
      </c>
      <c r="X498" s="43" t="str">
        <f t="shared" si="146"/>
        <v/>
      </c>
      <c r="Y498" s="43" t="str">
        <f t="shared" si="151"/>
        <v/>
      </c>
    </row>
    <row r="499" spans="1:25" hidden="1">
      <c r="A499" s="155" t="s">
        <v>183</v>
      </c>
      <c r="B499" s="156"/>
      <c r="C499" s="348" t="s">
        <v>341</v>
      </c>
      <c r="D499" s="157"/>
      <c r="E499" s="405">
        <v>180</v>
      </c>
      <c r="F499" s="406">
        <v>0.27</v>
      </c>
      <c r="G499" s="412">
        <f>IF(E499&lt;=30,(0.6*E499+1.25)*F499,((0.6*30+1.25)+0.5*(E499-30))*F499)</f>
        <v>25.447500000000002</v>
      </c>
      <c r="H499" s="465"/>
      <c r="I499" s="465" t="str">
        <f t="shared" si="156"/>
        <v/>
      </c>
      <c r="J499" s="407">
        <f t="shared" si="137"/>
        <v>0</v>
      </c>
      <c r="K499" s="394" t="s">
        <v>1029</v>
      </c>
      <c r="L499" s="152">
        <v>0</v>
      </c>
      <c r="M499" s="213"/>
      <c r="N499" s="402">
        <f t="shared" si="138"/>
        <v>0</v>
      </c>
      <c r="O499" s="402">
        <f t="shared" si="139"/>
        <v>0</v>
      </c>
      <c r="P499" s="403"/>
      <c r="Q499" s="212"/>
      <c r="R499" s="213"/>
      <c r="S499" s="402">
        <f t="shared" si="141"/>
        <v>0</v>
      </c>
      <c r="T499" s="404">
        <f t="shared" si="142"/>
        <v>0</v>
      </c>
      <c r="U499" s="403"/>
      <c r="V499" s="144" t="str">
        <f>IF(T497&gt;0,"xx",IF(O497&gt;0,"xy",""))</f>
        <v/>
      </c>
      <c r="W499" s="43" t="str">
        <f t="shared" si="157"/>
        <v/>
      </c>
      <c r="X499" s="43" t="str">
        <f t="shared" si="146"/>
        <v/>
      </c>
      <c r="Y499" s="43" t="str">
        <f t="shared" si="151"/>
        <v/>
      </c>
    </row>
    <row r="500" spans="1:25" hidden="1">
      <c r="A500" s="155" t="s">
        <v>183</v>
      </c>
      <c r="B500" s="156"/>
      <c r="C500" s="348" t="s">
        <v>337</v>
      </c>
      <c r="D500" s="157"/>
      <c r="E500" s="405"/>
      <c r="F500" s="406">
        <v>1.89</v>
      </c>
      <c r="G500" s="158">
        <f>IF(E500=0,0,IF(E500&lt;=30,(0.6*E500+1.25)*F500,((0.6*30+1.25)+0.5*(E500-30))*F500))</f>
        <v>0</v>
      </c>
      <c r="H500" s="465"/>
      <c r="I500" s="465" t="str">
        <f t="shared" si="156"/>
        <v/>
      </c>
      <c r="J500" s="407">
        <f t="shared" ref="J500:J556" si="158">IF(ISBLANK(H500),0,ROUND(I500*(1+$E$10)*(1+$E$11*D500),2))</f>
        <v>0</v>
      </c>
      <c r="K500" s="394" t="s">
        <v>1029</v>
      </c>
      <c r="L500" s="152">
        <v>0</v>
      </c>
      <c r="M500" s="213"/>
      <c r="N500" s="402">
        <f t="shared" si="138"/>
        <v>0</v>
      </c>
      <c r="O500" s="402">
        <f t="shared" si="139"/>
        <v>0</v>
      </c>
      <c r="P500" s="403"/>
      <c r="Q500" s="212"/>
      <c r="R500" s="213"/>
      <c r="S500" s="402">
        <f t="shared" si="141"/>
        <v>0</v>
      </c>
      <c r="T500" s="404">
        <f t="shared" ref="T500:T556" si="159">IF(ISBLANK(Q500),0,ROUND(Q500*R500,2))</f>
        <v>0</v>
      </c>
      <c r="U500" s="403"/>
      <c r="V500" s="144" t="str">
        <f>IF(T497&gt;0,"xx",IF(O497&gt;0,"xy",""))</f>
        <v/>
      </c>
      <c r="W500" s="43" t="str">
        <f t="shared" si="157"/>
        <v/>
      </c>
      <c r="X500" s="43" t="str">
        <f t="shared" si="146"/>
        <v/>
      </c>
      <c r="Y500" s="43" t="str">
        <f t="shared" si="151"/>
        <v/>
      </c>
    </row>
    <row r="501" spans="1:25" hidden="1">
      <c r="A501" s="155" t="s">
        <v>183</v>
      </c>
      <c r="B501" s="156"/>
      <c r="C501" s="348" t="s">
        <v>338</v>
      </c>
      <c r="D501" s="157"/>
      <c r="E501" s="405">
        <v>20</v>
      </c>
      <c r="F501" s="406">
        <v>2.2999999999999998</v>
      </c>
      <c r="G501" s="158">
        <f>IF(E501&lt;=30,(0.6*E501+2.51)*F501,((0.6*30+2.51)+0.5*(E501-30))*F501)</f>
        <v>33.372999999999998</v>
      </c>
      <c r="H501" s="465"/>
      <c r="I501" s="465" t="str">
        <f t="shared" si="156"/>
        <v/>
      </c>
      <c r="J501" s="407">
        <f t="shared" si="158"/>
        <v>0</v>
      </c>
      <c r="K501" s="394" t="s">
        <v>1029</v>
      </c>
      <c r="L501" s="152">
        <v>0</v>
      </c>
      <c r="M501" s="213"/>
      <c r="N501" s="402">
        <f t="shared" si="138"/>
        <v>0</v>
      </c>
      <c r="O501" s="402">
        <f t="shared" si="139"/>
        <v>0</v>
      </c>
      <c r="P501" s="403"/>
      <c r="Q501" s="212"/>
      <c r="R501" s="213"/>
      <c r="S501" s="402">
        <f t="shared" si="141"/>
        <v>0</v>
      </c>
      <c r="T501" s="404">
        <f t="shared" si="159"/>
        <v>0</v>
      </c>
      <c r="U501" s="403"/>
      <c r="V501" s="144" t="str">
        <f>IF(T497&gt;0,"xx",IF(O497&gt;0,"xy",""))</f>
        <v/>
      </c>
      <c r="W501" s="43" t="str">
        <f t="shared" si="157"/>
        <v/>
      </c>
      <c r="X501" s="43" t="str">
        <f t="shared" si="146"/>
        <v/>
      </c>
      <c r="Y501" s="43" t="str">
        <f t="shared" si="151"/>
        <v/>
      </c>
    </row>
    <row r="502" spans="1:25" hidden="1">
      <c r="A502" s="155">
        <v>570300</v>
      </c>
      <c r="B502" s="156" t="s">
        <v>242</v>
      </c>
      <c r="C502" s="411" t="s">
        <v>342</v>
      </c>
      <c r="D502" s="351">
        <v>1</v>
      </c>
      <c r="E502" s="405" t="s">
        <v>17</v>
      </c>
      <c r="F502" s="406" t="s">
        <v>17</v>
      </c>
      <c r="G502" s="158">
        <f>SUM(G503:G506)</f>
        <v>26.359349999999999</v>
      </c>
      <c r="H502" s="465">
        <f>F503*2349.52*(1+$E$9)/(1+$E$10)+111.26</f>
        <v>197.82906498422713</v>
      </c>
      <c r="I502" s="465">
        <f t="shared" si="156"/>
        <v>224.18841498422714</v>
      </c>
      <c r="J502" s="407">
        <f t="shared" si="158"/>
        <v>284.27</v>
      </c>
      <c r="K502" s="408" t="s">
        <v>22</v>
      </c>
      <c r="L502" s="152">
        <v>0</v>
      </c>
      <c r="M502" s="152"/>
      <c r="N502" s="402">
        <f t="shared" si="138"/>
        <v>0</v>
      </c>
      <c r="O502" s="402">
        <f t="shared" si="139"/>
        <v>0</v>
      </c>
      <c r="P502" s="403"/>
      <c r="Q502" s="152">
        <f t="shared" ref="Q502:R556" si="160">L502</f>
        <v>0</v>
      </c>
      <c r="R502" s="152">
        <f t="shared" si="160"/>
        <v>0</v>
      </c>
      <c r="S502" s="402">
        <f t="shared" si="141"/>
        <v>0</v>
      </c>
      <c r="T502" s="404">
        <f t="shared" si="159"/>
        <v>0</v>
      </c>
      <c r="U502" s="403"/>
      <c r="W502" s="43" t="str">
        <f t="shared" si="157"/>
        <v/>
      </c>
      <c r="X502" s="43" t="str">
        <f t="shared" si="146"/>
        <v/>
      </c>
      <c r="Y502" s="43" t="str">
        <f t="shared" si="151"/>
        <v/>
      </c>
    </row>
    <row r="503" spans="1:25" hidden="1">
      <c r="A503" s="155">
        <v>170500</v>
      </c>
      <c r="B503" s="156"/>
      <c r="C503" s="348" t="s">
        <v>333</v>
      </c>
      <c r="D503" s="157"/>
      <c r="E503" s="405">
        <v>500</v>
      </c>
      <c r="F503" s="406">
        <v>0.04</v>
      </c>
      <c r="G503" s="162">
        <f>(0.47*E503+22.99)*F503</f>
        <v>10.319600000000001</v>
      </c>
      <c r="H503" s="465"/>
      <c r="I503" s="465" t="str">
        <f t="shared" si="156"/>
        <v/>
      </c>
      <c r="J503" s="407">
        <f t="shared" si="158"/>
        <v>0</v>
      </c>
      <c r="K503" s="394" t="s">
        <v>1029</v>
      </c>
      <c r="L503" s="152">
        <v>0</v>
      </c>
      <c r="M503" s="213"/>
      <c r="N503" s="402">
        <f t="shared" si="138"/>
        <v>0</v>
      </c>
      <c r="O503" s="402">
        <f t="shared" si="139"/>
        <v>0</v>
      </c>
      <c r="P503" s="403"/>
      <c r="Q503" s="212"/>
      <c r="R503" s="213"/>
      <c r="S503" s="402">
        <f t="shared" si="141"/>
        <v>0</v>
      </c>
      <c r="T503" s="404">
        <f t="shared" si="159"/>
        <v>0</v>
      </c>
      <c r="U503" s="403"/>
      <c r="V503" s="144" t="str">
        <f>IF(T502&gt;0,"xx",IF(O502&gt;0,"xy",""))</f>
        <v/>
      </c>
      <c r="W503" s="43" t="str">
        <f t="shared" si="157"/>
        <v/>
      </c>
      <c r="X503" s="43" t="str">
        <f t="shared" si="146"/>
        <v/>
      </c>
      <c r="Y503" s="43" t="str">
        <f t="shared" si="151"/>
        <v/>
      </c>
    </row>
    <row r="504" spans="1:25" hidden="1">
      <c r="A504" s="155" t="s">
        <v>183</v>
      </c>
      <c r="B504" s="156"/>
      <c r="C504" s="348" t="s">
        <v>315</v>
      </c>
      <c r="D504" s="157"/>
      <c r="E504" s="405">
        <v>180</v>
      </c>
      <c r="F504" s="406">
        <v>1.4999999999999999E-2</v>
      </c>
      <c r="G504" s="158">
        <f>IF(E504&lt;=30,(0.42*E504+3.55)*F504,((0.42*30+3.55)+0.35*(E504-30))*F504)</f>
        <v>1.0297499999999999</v>
      </c>
      <c r="H504" s="465"/>
      <c r="I504" s="465" t="str">
        <f t="shared" si="156"/>
        <v/>
      </c>
      <c r="J504" s="407">
        <f t="shared" si="158"/>
        <v>0</v>
      </c>
      <c r="K504" s="394" t="s">
        <v>1029</v>
      </c>
      <c r="L504" s="152">
        <v>0</v>
      </c>
      <c r="M504" s="213"/>
      <c r="N504" s="402">
        <f t="shared" si="138"/>
        <v>0</v>
      </c>
      <c r="O504" s="402">
        <f t="shared" si="139"/>
        <v>0</v>
      </c>
      <c r="P504" s="403"/>
      <c r="Q504" s="212"/>
      <c r="R504" s="213"/>
      <c r="S504" s="402">
        <f t="shared" si="141"/>
        <v>0</v>
      </c>
      <c r="T504" s="404">
        <f t="shared" si="159"/>
        <v>0</v>
      </c>
      <c r="U504" s="403"/>
      <c r="V504" s="144" t="str">
        <f>IF(T502&gt;0,"xx",IF(O502&gt;0,"xy",""))</f>
        <v/>
      </c>
      <c r="W504" s="43" t="str">
        <f t="shared" si="157"/>
        <v/>
      </c>
      <c r="X504" s="43" t="str">
        <f t="shared" si="146"/>
        <v/>
      </c>
      <c r="Y504" s="43" t="str">
        <f t="shared" si="151"/>
        <v/>
      </c>
    </row>
    <row r="505" spans="1:25" hidden="1">
      <c r="A505" s="155" t="s">
        <v>183</v>
      </c>
      <c r="B505" s="156"/>
      <c r="C505" s="348" t="s">
        <v>337</v>
      </c>
      <c r="D505" s="157"/>
      <c r="E505" s="405"/>
      <c r="F505" s="406">
        <v>0.94499999999999995</v>
      </c>
      <c r="G505" s="158">
        <f>IF(E505=0,0,IF(E505&lt;=30,(0.6*E505+1.25)*F505,((0.6*30+1.25)+0.5*(E505-30))*F505))</f>
        <v>0</v>
      </c>
      <c r="H505" s="465"/>
      <c r="I505" s="465" t="str">
        <f t="shared" si="156"/>
        <v/>
      </c>
      <c r="J505" s="407">
        <f t="shared" si="158"/>
        <v>0</v>
      </c>
      <c r="K505" s="394" t="s">
        <v>1029</v>
      </c>
      <c r="L505" s="152">
        <v>0</v>
      </c>
      <c r="M505" s="213"/>
      <c r="N505" s="402">
        <f t="shared" si="138"/>
        <v>0</v>
      </c>
      <c r="O505" s="402">
        <f t="shared" si="139"/>
        <v>0</v>
      </c>
      <c r="P505" s="403"/>
      <c r="Q505" s="212"/>
      <c r="R505" s="213"/>
      <c r="S505" s="402">
        <f t="shared" si="141"/>
        <v>0</v>
      </c>
      <c r="T505" s="404">
        <f t="shared" si="159"/>
        <v>0</v>
      </c>
      <c r="U505" s="403"/>
      <c r="V505" s="144" t="str">
        <f>IF(T502&gt;0,"xx",IF(O502&gt;0,"xy",""))</f>
        <v/>
      </c>
      <c r="W505" s="43" t="str">
        <f t="shared" si="157"/>
        <v/>
      </c>
      <c r="X505" s="43" t="str">
        <f t="shared" si="146"/>
        <v/>
      </c>
      <c r="Y505" s="43" t="str">
        <f t="shared" si="151"/>
        <v/>
      </c>
    </row>
    <row r="506" spans="1:25" hidden="1">
      <c r="A506" s="155" t="s">
        <v>183</v>
      </c>
      <c r="B506" s="156"/>
      <c r="C506" s="348" t="s">
        <v>338</v>
      </c>
      <c r="D506" s="157"/>
      <c r="E506" s="405">
        <v>20</v>
      </c>
      <c r="F506" s="406">
        <v>1</v>
      </c>
      <c r="G506" s="158">
        <f>IF(E506&lt;=30,(0.6*E506+3.01)*F506,((0.6*30+3.01)+0.5*(E506-30))*F506)</f>
        <v>15.01</v>
      </c>
      <c r="H506" s="465"/>
      <c r="I506" s="465" t="str">
        <f t="shared" si="156"/>
        <v/>
      </c>
      <c r="J506" s="407">
        <f t="shared" si="158"/>
        <v>0</v>
      </c>
      <c r="K506" s="394" t="s">
        <v>1029</v>
      </c>
      <c r="L506" s="152">
        <v>0</v>
      </c>
      <c r="M506" s="213"/>
      <c r="N506" s="402">
        <f t="shared" si="138"/>
        <v>0</v>
      </c>
      <c r="O506" s="402">
        <f t="shared" si="139"/>
        <v>0</v>
      </c>
      <c r="P506" s="403"/>
      <c r="Q506" s="212"/>
      <c r="R506" s="213"/>
      <c r="S506" s="402">
        <f t="shared" si="141"/>
        <v>0</v>
      </c>
      <c r="T506" s="404">
        <f t="shared" si="159"/>
        <v>0</v>
      </c>
      <c r="U506" s="403"/>
      <c r="V506" s="144" t="str">
        <f>IF(T502&gt;0,"xx",IF(O502&gt;0,"xy",""))</f>
        <v/>
      </c>
      <c r="W506" s="43" t="str">
        <f t="shared" si="157"/>
        <v/>
      </c>
      <c r="X506" s="43" t="str">
        <f t="shared" si="146"/>
        <v/>
      </c>
      <c r="Y506" s="43" t="str">
        <f t="shared" si="151"/>
        <v/>
      </c>
    </row>
    <row r="507" spans="1:25" hidden="1">
      <c r="A507" s="155">
        <v>570310</v>
      </c>
      <c r="B507" s="156" t="s">
        <v>242</v>
      </c>
      <c r="C507" s="411" t="s">
        <v>343</v>
      </c>
      <c r="D507" s="351">
        <v>1</v>
      </c>
      <c r="E507" s="405" t="s">
        <v>17</v>
      </c>
      <c r="F507" s="406" t="s">
        <v>17</v>
      </c>
      <c r="G507" s="158">
        <f>SUM(G508:G511)</f>
        <v>26.359349999999999</v>
      </c>
      <c r="H507" s="465">
        <f>F508*2349.52*(1+$E$9)/(1+$E$10)+98.76</f>
        <v>185.32906498422713</v>
      </c>
      <c r="I507" s="465">
        <f t="shared" si="156"/>
        <v>211.68841498422714</v>
      </c>
      <c r="J507" s="407">
        <f t="shared" si="158"/>
        <v>268.42</v>
      </c>
      <c r="K507" s="408" t="s">
        <v>22</v>
      </c>
      <c r="L507" s="152">
        <v>0</v>
      </c>
      <c r="M507" s="152"/>
      <c r="N507" s="402">
        <f t="shared" si="138"/>
        <v>0</v>
      </c>
      <c r="O507" s="402">
        <f t="shared" si="139"/>
        <v>0</v>
      </c>
      <c r="P507" s="403"/>
      <c r="Q507" s="152">
        <f t="shared" si="160"/>
        <v>0</v>
      </c>
      <c r="R507" s="152">
        <f t="shared" si="160"/>
        <v>0</v>
      </c>
      <c r="S507" s="402">
        <f t="shared" si="141"/>
        <v>0</v>
      </c>
      <c r="T507" s="404">
        <f t="shared" si="159"/>
        <v>0</v>
      </c>
      <c r="U507" s="403"/>
      <c r="W507" s="43" t="str">
        <f t="shared" si="157"/>
        <v/>
      </c>
      <c r="X507" s="43" t="str">
        <f t="shared" si="146"/>
        <v/>
      </c>
      <c r="Y507" s="43" t="str">
        <f t="shared" si="151"/>
        <v/>
      </c>
    </row>
    <row r="508" spans="1:25" hidden="1">
      <c r="A508" s="155" t="s">
        <v>183</v>
      </c>
      <c r="B508" s="156"/>
      <c r="C508" s="348" t="s">
        <v>333</v>
      </c>
      <c r="D508" s="157"/>
      <c r="E508" s="405">
        <v>500</v>
      </c>
      <c r="F508" s="406">
        <v>0.04</v>
      </c>
      <c r="G508" s="162">
        <f>(0.47*E508+22.99)*F508</f>
        <v>10.319600000000001</v>
      </c>
      <c r="H508" s="465"/>
      <c r="I508" s="465" t="str">
        <f t="shared" si="156"/>
        <v/>
      </c>
      <c r="J508" s="407">
        <f t="shared" si="158"/>
        <v>0</v>
      </c>
      <c r="K508" s="394" t="s">
        <v>1029</v>
      </c>
      <c r="L508" s="152">
        <v>0</v>
      </c>
      <c r="M508" s="213"/>
      <c r="N508" s="402">
        <f t="shared" si="138"/>
        <v>0</v>
      </c>
      <c r="O508" s="402">
        <f t="shared" si="139"/>
        <v>0</v>
      </c>
      <c r="P508" s="403"/>
      <c r="Q508" s="212"/>
      <c r="R508" s="213"/>
      <c r="S508" s="402">
        <f t="shared" si="141"/>
        <v>0</v>
      </c>
      <c r="T508" s="404">
        <f t="shared" si="159"/>
        <v>0</v>
      </c>
      <c r="U508" s="403"/>
      <c r="V508" s="144" t="str">
        <f>IF(T507&gt;0,"xx",IF(O507&gt;0,"xy",""))</f>
        <v/>
      </c>
      <c r="W508" s="43" t="str">
        <f t="shared" si="157"/>
        <v/>
      </c>
      <c r="X508" s="43" t="str">
        <f t="shared" si="146"/>
        <v/>
      </c>
      <c r="Y508" s="43" t="str">
        <f t="shared" si="151"/>
        <v/>
      </c>
    </row>
    <row r="509" spans="1:25" hidden="1">
      <c r="A509" s="155" t="s">
        <v>183</v>
      </c>
      <c r="B509" s="156"/>
      <c r="C509" s="348" t="s">
        <v>315</v>
      </c>
      <c r="D509" s="157"/>
      <c r="E509" s="405">
        <v>180</v>
      </c>
      <c r="F509" s="406">
        <v>1.4999999999999999E-2</v>
      </c>
      <c r="G509" s="158">
        <f>IF(E509&lt;=30,(0.42*E509+3.55)*F509,((0.42*30+3.55)+0.35*(E509-30))*F509)</f>
        <v>1.0297499999999999</v>
      </c>
      <c r="H509" s="465"/>
      <c r="I509" s="465" t="str">
        <f t="shared" si="156"/>
        <v/>
      </c>
      <c r="J509" s="407">
        <f t="shared" si="158"/>
        <v>0</v>
      </c>
      <c r="K509" s="394" t="s">
        <v>1029</v>
      </c>
      <c r="L509" s="152">
        <v>0</v>
      </c>
      <c r="M509" s="213"/>
      <c r="N509" s="402">
        <f t="shared" si="138"/>
        <v>0</v>
      </c>
      <c r="O509" s="402">
        <f t="shared" si="139"/>
        <v>0</v>
      </c>
      <c r="P509" s="403"/>
      <c r="Q509" s="212"/>
      <c r="R509" s="213"/>
      <c r="S509" s="402">
        <f t="shared" si="141"/>
        <v>0</v>
      </c>
      <c r="T509" s="404">
        <f t="shared" si="159"/>
        <v>0</v>
      </c>
      <c r="U509" s="403"/>
      <c r="V509" s="144" t="str">
        <f>IF(T507&gt;0,"xx",IF(O507&gt;0,"xy",""))</f>
        <v/>
      </c>
      <c r="W509" s="43" t="str">
        <f t="shared" si="157"/>
        <v/>
      </c>
      <c r="X509" s="43" t="str">
        <f t="shared" si="146"/>
        <v/>
      </c>
      <c r="Y509" s="43" t="str">
        <f t="shared" si="151"/>
        <v/>
      </c>
    </row>
    <row r="510" spans="1:25" hidden="1">
      <c r="A510" s="155" t="s">
        <v>183</v>
      </c>
      <c r="B510" s="156"/>
      <c r="C510" s="348" t="s">
        <v>337</v>
      </c>
      <c r="D510" s="157"/>
      <c r="E510" s="405"/>
      <c r="F510" s="406">
        <v>0.94499999999999995</v>
      </c>
      <c r="G510" s="158">
        <f>IF(E510=0,0,IF(E510&lt;=30,(0.6*E510+1.25)*F510,((0.6*30+1.25)+0.5*(E510-30))*F510))</f>
        <v>0</v>
      </c>
      <c r="H510" s="465"/>
      <c r="I510" s="465" t="str">
        <f t="shared" si="156"/>
        <v/>
      </c>
      <c r="J510" s="407">
        <f t="shared" si="158"/>
        <v>0</v>
      </c>
      <c r="K510" s="394" t="s">
        <v>1029</v>
      </c>
      <c r="L510" s="152">
        <v>0</v>
      </c>
      <c r="M510" s="213"/>
      <c r="N510" s="402">
        <f t="shared" si="138"/>
        <v>0</v>
      </c>
      <c r="O510" s="402">
        <f t="shared" si="139"/>
        <v>0</v>
      </c>
      <c r="P510" s="403"/>
      <c r="Q510" s="212"/>
      <c r="R510" s="213"/>
      <c r="S510" s="402">
        <f t="shared" si="141"/>
        <v>0</v>
      </c>
      <c r="T510" s="404">
        <f t="shared" si="159"/>
        <v>0</v>
      </c>
      <c r="U510" s="403"/>
      <c r="V510" s="144" t="str">
        <f>IF(T507&gt;0,"xx",IF(O507&gt;0,"xy",""))</f>
        <v/>
      </c>
      <c r="W510" s="43" t="str">
        <f t="shared" si="157"/>
        <v/>
      </c>
      <c r="X510" s="43" t="str">
        <f t="shared" si="146"/>
        <v/>
      </c>
      <c r="Y510" s="43" t="str">
        <f t="shared" si="151"/>
        <v/>
      </c>
    </row>
    <row r="511" spans="1:25" hidden="1">
      <c r="A511" s="155" t="s">
        <v>183</v>
      </c>
      <c r="B511" s="156"/>
      <c r="C511" s="348" t="s">
        <v>338</v>
      </c>
      <c r="D511" s="157"/>
      <c r="E511" s="405">
        <v>20</v>
      </c>
      <c r="F511" s="406">
        <v>1</v>
      </c>
      <c r="G511" s="158">
        <f>IF(E511&lt;=30,(0.6*E511+3.01)*F511,((0.6*30+3.01)+0.5*(E511-30))*F511)</f>
        <v>15.01</v>
      </c>
      <c r="H511" s="465"/>
      <c r="I511" s="465" t="str">
        <f t="shared" si="156"/>
        <v/>
      </c>
      <c r="J511" s="407">
        <f t="shared" si="158"/>
        <v>0</v>
      </c>
      <c r="K511" s="394" t="s">
        <v>1029</v>
      </c>
      <c r="L511" s="152">
        <v>0</v>
      </c>
      <c r="M511" s="213"/>
      <c r="N511" s="402">
        <f t="shared" si="138"/>
        <v>0</v>
      </c>
      <c r="O511" s="402">
        <f t="shared" si="139"/>
        <v>0</v>
      </c>
      <c r="P511" s="403"/>
      <c r="Q511" s="212"/>
      <c r="R511" s="213"/>
      <c r="S511" s="402">
        <f t="shared" si="141"/>
        <v>0</v>
      </c>
      <c r="T511" s="404">
        <f t="shared" si="159"/>
        <v>0</v>
      </c>
      <c r="U511" s="403"/>
      <c r="V511" s="144" t="str">
        <f>IF(T507&gt;0,"xx",IF(O507&gt;0,"xy",""))</f>
        <v/>
      </c>
      <c r="W511" s="43" t="str">
        <f t="shared" si="157"/>
        <v/>
      </c>
      <c r="X511" s="43" t="str">
        <f t="shared" si="146"/>
        <v/>
      </c>
      <c r="Y511" s="43" t="str">
        <f t="shared" si="151"/>
        <v/>
      </c>
    </row>
    <row r="512" spans="1:25" hidden="1">
      <c r="A512" s="155">
        <v>570000</v>
      </c>
      <c r="B512" s="156" t="s">
        <v>242</v>
      </c>
      <c r="C512" s="411" t="s">
        <v>387</v>
      </c>
      <c r="D512" s="351">
        <v>1</v>
      </c>
      <c r="E512" s="405"/>
      <c r="F512" s="406"/>
      <c r="G512" s="158">
        <f>SUM(G513:G517)</f>
        <v>41.850180000000002</v>
      </c>
      <c r="H512" s="465">
        <f>F513*2349.52*(1+$E$9)/(1+$E$10)+114.86</f>
        <v>238.22091760252366</v>
      </c>
      <c r="I512" s="465">
        <f t="shared" si="156"/>
        <v>280.07109760252365</v>
      </c>
      <c r="J512" s="407">
        <f t="shared" si="158"/>
        <v>355.13</v>
      </c>
      <c r="K512" s="408" t="s">
        <v>22</v>
      </c>
      <c r="L512" s="152">
        <v>0</v>
      </c>
      <c r="M512" s="152"/>
      <c r="N512" s="402">
        <f t="shared" si="138"/>
        <v>0</v>
      </c>
      <c r="O512" s="402">
        <f t="shared" si="139"/>
        <v>0</v>
      </c>
      <c r="P512" s="403"/>
      <c r="Q512" s="152">
        <f t="shared" si="160"/>
        <v>0</v>
      </c>
      <c r="R512" s="152">
        <f t="shared" si="160"/>
        <v>0</v>
      </c>
      <c r="S512" s="402">
        <f t="shared" si="141"/>
        <v>0</v>
      </c>
      <c r="T512" s="404">
        <f t="shared" si="159"/>
        <v>0</v>
      </c>
      <c r="U512" s="403"/>
      <c r="W512" s="43" t="str">
        <f t="shared" si="157"/>
        <v/>
      </c>
      <c r="X512" s="43" t="str">
        <f t="shared" si="146"/>
        <v/>
      </c>
      <c r="Y512" s="43" t="str">
        <f t="shared" si="151"/>
        <v/>
      </c>
    </row>
    <row r="513" spans="1:25" hidden="1">
      <c r="A513" s="155">
        <v>170500</v>
      </c>
      <c r="B513" s="156"/>
      <c r="C513" s="348" t="s">
        <v>333</v>
      </c>
      <c r="D513" s="157"/>
      <c r="E513" s="405">
        <v>500</v>
      </c>
      <c r="F513" s="406">
        <v>5.7000000000000002E-2</v>
      </c>
      <c r="G513" s="162">
        <f>(0.47*E513+22.99)*F513</f>
        <v>14.705430000000002</v>
      </c>
      <c r="H513" s="465"/>
      <c r="I513" s="465" t="str">
        <f t="shared" si="156"/>
        <v/>
      </c>
      <c r="J513" s="407">
        <f t="shared" si="158"/>
        <v>0</v>
      </c>
      <c r="K513" s="394" t="s">
        <v>1029</v>
      </c>
      <c r="L513" s="152">
        <v>0</v>
      </c>
      <c r="M513" s="213"/>
      <c r="N513" s="402">
        <f t="shared" si="138"/>
        <v>0</v>
      </c>
      <c r="O513" s="402">
        <f t="shared" si="139"/>
        <v>0</v>
      </c>
      <c r="P513" s="403"/>
      <c r="Q513" s="212"/>
      <c r="R513" s="213"/>
      <c r="S513" s="402">
        <f t="shared" si="141"/>
        <v>0</v>
      </c>
      <c r="T513" s="404">
        <f t="shared" si="159"/>
        <v>0</v>
      </c>
      <c r="U513" s="403"/>
      <c r="V513" s="144" t="str">
        <f>IF(T512&gt;0,"xx",IF(O512&gt;0,"xy",""))</f>
        <v/>
      </c>
      <c r="W513" s="43" t="str">
        <f t="shared" si="157"/>
        <v/>
      </c>
      <c r="X513" s="43" t="str">
        <f t="shared" si="146"/>
        <v/>
      </c>
      <c r="Y513" s="43" t="str">
        <f t="shared" si="151"/>
        <v/>
      </c>
    </row>
    <row r="514" spans="1:25" hidden="1">
      <c r="A514" s="155" t="s">
        <v>183</v>
      </c>
      <c r="B514" s="156"/>
      <c r="C514" s="348" t="s">
        <v>314</v>
      </c>
      <c r="D514" s="157"/>
      <c r="E514" s="405">
        <v>180</v>
      </c>
      <c r="F514" s="406">
        <v>0.1</v>
      </c>
      <c r="G514" s="412">
        <f>IF(E514&lt;=30,(0.6*E514+1.25)*F514,((0.6*30+1.25)+0.5*(E514-30))*F514)</f>
        <v>9.4250000000000007</v>
      </c>
      <c r="H514" s="465"/>
      <c r="I514" s="465" t="str">
        <f t="shared" si="156"/>
        <v/>
      </c>
      <c r="J514" s="407">
        <f t="shared" si="158"/>
        <v>0</v>
      </c>
      <c r="K514" s="394" t="s">
        <v>1029</v>
      </c>
      <c r="L514" s="152">
        <v>0</v>
      </c>
      <c r="M514" s="213"/>
      <c r="N514" s="402">
        <f t="shared" si="138"/>
        <v>0</v>
      </c>
      <c r="O514" s="402">
        <f t="shared" si="139"/>
        <v>0</v>
      </c>
      <c r="P514" s="403"/>
      <c r="Q514" s="212"/>
      <c r="R514" s="213"/>
      <c r="S514" s="402">
        <f t="shared" si="141"/>
        <v>0</v>
      </c>
      <c r="T514" s="404">
        <f t="shared" si="159"/>
        <v>0</v>
      </c>
      <c r="U514" s="403"/>
      <c r="V514" s="144" t="str">
        <f>IF(T512&gt;0,"xx",IF(O512&gt;0,"xy",""))</f>
        <v/>
      </c>
      <c r="W514" s="43" t="str">
        <f t="shared" si="157"/>
        <v/>
      </c>
      <c r="X514" s="43" t="str">
        <f t="shared" si="146"/>
        <v/>
      </c>
      <c r="Y514" s="43" t="str">
        <f t="shared" si="151"/>
        <v/>
      </c>
    </row>
    <row r="515" spans="1:25" hidden="1">
      <c r="A515" s="155" t="s">
        <v>183</v>
      </c>
      <c r="B515" s="156"/>
      <c r="C515" s="348" t="s">
        <v>315</v>
      </c>
      <c r="D515" s="157"/>
      <c r="E515" s="405">
        <v>500</v>
      </c>
      <c r="F515" s="406">
        <v>1.4999999999999999E-2</v>
      </c>
      <c r="G515" s="158">
        <f>IF(E515&lt;=30,(0.42*E515+3.55)*F515,((0.42*30+3.55)+0.35*(E515-30))*F515)</f>
        <v>2.7097500000000001</v>
      </c>
      <c r="H515" s="465"/>
      <c r="I515" s="465" t="str">
        <f t="shared" si="156"/>
        <v/>
      </c>
      <c r="J515" s="407">
        <f t="shared" si="158"/>
        <v>0</v>
      </c>
      <c r="K515" s="394" t="s">
        <v>1029</v>
      </c>
      <c r="L515" s="152">
        <v>0</v>
      </c>
      <c r="M515" s="213"/>
      <c r="N515" s="402">
        <f t="shared" si="138"/>
        <v>0</v>
      </c>
      <c r="O515" s="402">
        <f t="shared" si="139"/>
        <v>0</v>
      </c>
      <c r="P515" s="403"/>
      <c r="Q515" s="212"/>
      <c r="R515" s="213"/>
      <c r="S515" s="402">
        <f t="shared" si="141"/>
        <v>0</v>
      </c>
      <c r="T515" s="404">
        <f t="shared" si="159"/>
        <v>0</v>
      </c>
      <c r="U515" s="403"/>
      <c r="V515" s="144" t="str">
        <f>IF(T512&gt;0,"xx",IF(O512&gt;0,"xy",""))</f>
        <v/>
      </c>
      <c r="W515" s="43" t="str">
        <f t="shared" si="157"/>
        <v/>
      </c>
      <c r="X515" s="43" t="str">
        <f t="shared" si="146"/>
        <v/>
      </c>
      <c r="Y515" s="43" t="str">
        <f t="shared" si="151"/>
        <v/>
      </c>
    </row>
    <row r="516" spans="1:25" hidden="1">
      <c r="A516" s="155" t="s">
        <v>183</v>
      </c>
      <c r="B516" s="156"/>
      <c r="C516" s="348" t="s">
        <v>337</v>
      </c>
      <c r="D516" s="157"/>
      <c r="E516" s="405"/>
      <c r="F516" s="406">
        <v>0.82799999999999996</v>
      </c>
      <c r="G516" s="158">
        <f>IF(E516=0,0,IF(E516&lt;=30,(0.6*E516+1.25)*F516,((0.6*30+1.25)+0.5*(E516-30))*F516))</f>
        <v>0</v>
      </c>
      <c r="H516" s="465"/>
      <c r="I516" s="465" t="str">
        <f t="shared" si="156"/>
        <v/>
      </c>
      <c r="J516" s="407">
        <f t="shared" si="158"/>
        <v>0</v>
      </c>
      <c r="K516" s="394" t="s">
        <v>1029</v>
      </c>
      <c r="L516" s="152">
        <v>0</v>
      </c>
      <c r="M516" s="213"/>
      <c r="N516" s="402">
        <f t="shared" si="138"/>
        <v>0</v>
      </c>
      <c r="O516" s="402">
        <f t="shared" si="139"/>
        <v>0</v>
      </c>
      <c r="P516" s="403"/>
      <c r="Q516" s="212"/>
      <c r="R516" s="213"/>
      <c r="S516" s="402">
        <f t="shared" si="141"/>
        <v>0</v>
      </c>
      <c r="T516" s="404">
        <f t="shared" si="159"/>
        <v>0</v>
      </c>
      <c r="U516" s="403"/>
      <c r="V516" s="144" t="str">
        <f>IF(T512&gt;0,"xx",IF(O512&gt;0,"xy",""))</f>
        <v/>
      </c>
      <c r="W516" s="43" t="str">
        <f t="shared" si="157"/>
        <v/>
      </c>
      <c r="X516" s="43" t="str">
        <f t="shared" si="146"/>
        <v/>
      </c>
      <c r="Y516" s="43" t="str">
        <f t="shared" si="151"/>
        <v/>
      </c>
    </row>
    <row r="517" spans="1:25" hidden="1">
      <c r="A517" s="155" t="s">
        <v>183</v>
      </c>
      <c r="B517" s="156"/>
      <c r="C517" s="348" t="s">
        <v>338</v>
      </c>
      <c r="D517" s="157"/>
      <c r="E517" s="405">
        <v>20</v>
      </c>
      <c r="F517" s="406">
        <v>1</v>
      </c>
      <c r="G517" s="158">
        <f>IF(E517&lt;=30,(0.6*E517+3.01)*F517,((0.6*30+3.01)+0.5*(E517-30))*F517)</f>
        <v>15.01</v>
      </c>
      <c r="H517" s="465"/>
      <c r="I517" s="465" t="str">
        <f t="shared" si="156"/>
        <v/>
      </c>
      <c r="J517" s="407">
        <f t="shared" si="158"/>
        <v>0</v>
      </c>
      <c r="K517" s="394" t="s">
        <v>1029</v>
      </c>
      <c r="L517" s="152">
        <v>0</v>
      </c>
      <c r="M517" s="213"/>
      <c r="N517" s="402">
        <f t="shared" si="138"/>
        <v>0</v>
      </c>
      <c r="O517" s="402">
        <f t="shared" si="139"/>
        <v>0</v>
      </c>
      <c r="P517" s="403"/>
      <c r="Q517" s="212"/>
      <c r="R517" s="213"/>
      <c r="S517" s="402">
        <f t="shared" si="141"/>
        <v>0</v>
      </c>
      <c r="T517" s="404">
        <f t="shared" si="159"/>
        <v>0</v>
      </c>
      <c r="U517" s="403"/>
      <c r="V517" s="144" t="str">
        <f>IF(T512&gt;0,"xx",IF(O512&gt;0,"xy",""))</f>
        <v/>
      </c>
      <c r="W517" s="43" t="str">
        <f t="shared" si="157"/>
        <v/>
      </c>
      <c r="X517" s="43" t="str">
        <f t="shared" si="146"/>
        <v/>
      </c>
      <c r="Y517" s="43" t="str">
        <f t="shared" si="151"/>
        <v/>
      </c>
    </row>
    <row r="518" spans="1:25" hidden="1">
      <c r="A518" s="409">
        <v>521450</v>
      </c>
      <c r="B518" s="183" t="s">
        <v>242</v>
      </c>
      <c r="C518" s="411" t="s">
        <v>388</v>
      </c>
      <c r="D518" s="351"/>
      <c r="E518" s="405">
        <v>20</v>
      </c>
      <c r="F518" s="161">
        <v>0.3</v>
      </c>
      <c r="G518" s="412">
        <f>IF(E518&lt;=30,(0.6*E518+1.25)*F518,((0.6*30+1.25)+0.5*(E518-30))*F518)</f>
        <v>3.9749999999999996</v>
      </c>
      <c r="H518" s="465">
        <f>"0,40"+"0,69"+"7,26"+"0,53"+"10,92"+"0,13"</f>
        <v>19.929999999999996</v>
      </c>
      <c r="I518" s="465">
        <f>IF(ISBLANK(H518),"",SUM(G518:H518))</f>
        <v>23.904999999999994</v>
      </c>
      <c r="J518" s="407">
        <f t="shared" si="158"/>
        <v>30.31</v>
      </c>
      <c r="K518" s="408" t="s">
        <v>18</v>
      </c>
      <c r="L518" s="152">
        <v>0</v>
      </c>
      <c r="M518" s="152"/>
      <c r="N518" s="402">
        <f t="shared" si="138"/>
        <v>0</v>
      </c>
      <c r="O518" s="402">
        <f t="shared" si="139"/>
        <v>0</v>
      </c>
      <c r="P518" s="403"/>
      <c r="Q518" s="152">
        <f t="shared" si="160"/>
        <v>0</v>
      </c>
      <c r="R518" s="152">
        <f t="shared" si="160"/>
        <v>0</v>
      </c>
      <c r="S518" s="402">
        <f t="shared" si="141"/>
        <v>0</v>
      </c>
      <c r="T518" s="404">
        <f t="shared" si="159"/>
        <v>0</v>
      </c>
      <c r="U518" s="403"/>
      <c r="W518" s="43" t="str">
        <f t="shared" si="157"/>
        <v/>
      </c>
      <c r="X518" s="43" t="str">
        <f t="shared" si="146"/>
        <v/>
      </c>
      <c r="Y518" s="43" t="str">
        <f t="shared" si="151"/>
        <v/>
      </c>
    </row>
    <row r="519" spans="1:25" hidden="1">
      <c r="A519" s="155" t="s">
        <v>19</v>
      </c>
      <c r="B519" s="156" t="s">
        <v>242</v>
      </c>
      <c r="C519" s="411" t="s">
        <v>389</v>
      </c>
      <c r="D519" s="351"/>
      <c r="E519" s="405">
        <v>20</v>
      </c>
      <c r="F519" s="161">
        <v>7.6999999999999999E-2</v>
      </c>
      <c r="G519" s="412">
        <f>IF(E519&lt;=30,(0.6*E519+1.25)*F519,((0.6*30+1.25)+0.5*(E519-30))*F519)</f>
        <v>1.0202499999999999</v>
      </c>
      <c r="H519" s="465">
        <v>8.5399999999999991</v>
      </c>
      <c r="I519" s="465">
        <f>IF(ISBLANK(H519),"",SUM(G519:H519))</f>
        <v>9.5602499999999999</v>
      </c>
      <c r="J519" s="407">
        <f t="shared" si="158"/>
        <v>12.12</v>
      </c>
      <c r="K519" s="408" t="s">
        <v>20</v>
      </c>
      <c r="L519" s="152">
        <v>0</v>
      </c>
      <c r="M519" s="152"/>
      <c r="N519" s="402">
        <f t="shared" si="138"/>
        <v>0</v>
      </c>
      <c r="O519" s="402">
        <f t="shared" si="139"/>
        <v>0</v>
      </c>
      <c r="P519" s="403"/>
      <c r="Q519" s="152">
        <f t="shared" si="160"/>
        <v>0</v>
      </c>
      <c r="R519" s="152">
        <f t="shared" si="160"/>
        <v>0</v>
      </c>
      <c r="S519" s="402">
        <f t="shared" si="141"/>
        <v>0</v>
      </c>
      <c r="T519" s="404">
        <f t="shared" si="159"/>
        <v>0</v>
      </c>
      <c r="U519" s="403"/>
      <c r="W519" s="43" t="str">
        <f t="shared" si="157"/>
        <v/>
      </c>
      <c r="X519" s="43" t="str">
        <f t="shared" si="146"/>
        <v/>
      </c>
      <c r="Y519" s="43" t="str">
        <f t="shared" si="151"/>
        <v/>
      </c>
    </row>
    <row r="520" spans="1:25" hidden="1">
      <c r="A520" s="155" t="s">
        <v>21</v>
      </c>
      <c r="B520" s="156" t="s">
        <v>242</v>
      </c>
      <c r="C520" s="411" t="s">
        <v>390</v>
      </c>
      <c r="D520" s="351"/>
      <c r="E520" s="405"/>
      <c r="F520" s="161"/>
      <c r="G520" s="158"/>
      <c r="H520" s="465">
        <v>5.7734138972809674</v>
      </c>
      <c r="I520" s="465">
        <f>IF(ISBLANK(H520),"",SUM(G520:H520))</f>
        <v>5.7734138972809674</v>
      </c>
      <c r="J520" s="407">
        <f t="shared" si="158"/>
        <v>7.32</v>
      </c>
      <c r="K520" s="408" t="s">
        <v>18</v>
      </c>
      <c r="L520" s="152">
        <v>0</v>
      </c>
      <c r="M520" s="152"/>
      <c r="N520" s="402">
        <f t="shared" si="138"/>
        <v>0</v>
      </c>
      <c r="O520" s="402">
        <f t="shared" si="139"/>
        <v>0</v>
      </c>
      <c r="P520" s="403"/>
      <c r="Q520" s="152">
        <f t="shared" si="160"/>
        <v>0</v>
      </c>
      <c r="R520" s="152">
        <f t="shared" si="160"/>
        <v>0</v>
      </c>
      <c r="S520" s="402">
        <f t="shared" si="141"/>
        <v>0</v>
      </c>
      <c r="T520" s="404">
        <f t="shared" si="159"/>
        <v>0</v>
      </c>
      <c r="U520" s="403"/>
      <c r="W520" s="43" t="str">
        <f t="shared" si="157"/>
        <v/>
      </c>
      <c r="X520" s="43" t="str">
        <f t="shared" si="146"/>
        <v/>
      </c>
      <c r="Y520" s="43" t="str">
        <f t="shared" si="151"/>
        <v/>
      </c>
    </row>
    <row r="521" spans="1:25" hidden="1">
      <c r="A521" s="155" t="s">
        <v>21</v>
      </c>
      <c r="B521" s="156" t="s">
        <v>242</v>
      </c>
      <c r="C521" s="411" t="s">
        <v>391</v>
      </c>
      <c r="D521" s="351"/>
      <c r="E521" s="405"/>
      <c r="F521" s="161"/>
      <c r="G521" s="158"/>
      <c r="H521" s="465">
        <v>10.192</v>
      </c>
      <c r="I521" s="465">
        <f>IF(ISBLANK(H521),"",SUM(G521:H521))</f>
        <v>10.192</v>
      </c>
      <c r="J521" s="407">
        <f t="shared" si="158"/>
        <v>12.92</v>
      </c>
      <c r="K521" s="408" t="s">
        <v>18</v>
      </c>
      <c r="L521" s="152">
        <v>0</v>
      </c>
      <c r="M521" s="152"/>
      <c r="N521" s="402">
        <f t="shared" si="138"/>
        <v>0</v>
      </c>
      <c r="O521" s="402">
        <f t="shared" si="139"/>
        <v>0</v>
      </c>
      <c r="P521" s="403"/>
      <c r="Q521" s="152">
        <f t="shared" si="160"/>
        <v>0</v>
      </c>
      <c r="R521" s="152">
        <f t="shared" si="160"/>
        <v>0</v>
      </c>
      <c r="S521" s="402">
        <f t="shared" si="141"/>
        <v>0</v>
      </c>
      <c r="T521" s="404">
        <f t="shared" si="159"/>
        <v>0</v>
      </c>
      <c r="U521" s="403"/>
      <c r="W521" s="43" t="str">
        <f t="shared" si="157"/>
        <v/>
      </c>
      <c r="X521" s="43" t="str">
        <f t="shared" si="146"/>
        <v/>
      </c>
      <c r="Y521" s="43" t="str">
        <f t="shared" si="151"/>
        <v/>
      </c>
    </row>
    <row r="522" spans="1:25" hidden="1">
      <c r="A522" s="155">
        <v>535000</v>
      </c>
      <c r="B522" s="156" t="s">
        <v>242</v>
      </c>
      <c r="C522" s="411" t="s">
        <v>392</v>
      </c>
      <c r="D522" s="351"/>
      <c r="E522" s="405">
        <v>20</v>
      </c>
      <c r="F522" s="406">
        <v>0.27200000000000002</v>
      </c>
      <c r="G522" s="412">
        <f t="shared" ref="G522:G544" si="161">IF(E522&lt;=30,(0.6*E522+1.25)*F522,((0.6*30+1.25)+0.5*(E522-30))*F522)</f>
        <v>3.6040000000000001</v>
      </c>
      <c r="H522" s="465">
        <v>71.290000000000006</v>
      </c>
      <c r="I522" s="465">
        <f>IF(ISBLANK(H522),"",SUM(G522:H522))*0.85</f>
        <v>63.6599</v>
      </c>
      <c r="J522" s="407">
        <f t="shared" si="158"/>
        <v>80.72</v>
      </c>
      <c r="K522" s="408" t="s">
        <v>18</v>
      </c>
      <c r="L522" s="152">
        <v>0</v>
      </c>
      <c r="M522" s="152"/>
      <c r="N522" s="402">
        <f t="shared" si="138"/>
        <v>0</v>
      </c>
      <c r="O522" s="402">
        <f t="shared" si="139"/>
        <v>0</v>
      </c>
      <c r="P522" s="403"/>
      <c r="Q522" s="152">
        <f t="shared" si="160"/>
        <v>0</v>
      </c>
      <c r="R522" s="152">
        <f t="shared" si="160"/>
        <v>0</v>
      </c>
      <c r="S522" s="402">
        <f t="shared" si="141"/>
        <v>0</v>
      </c>
      <c r="T522" s="404">
        <f t="shared" si="159"/>
        <v>0</v>
      </c>
      <c r="U522" s="403"/>
      <c r="W522" s="43" t="str">
        <f t="shared" si="157"/>
        <v/>
      </c>
      <c r="X522" s="43" t="str">
        <f t="shared" si="146"/>
        <v/>
      </c>
      <c r="Y522" s="43" t="str">
        <f t="shared" si="151"/>
        <v/>
      </c>
    </row>
    <row r="523" spans="1:25" hidden="1">
      <c r="A523" s="155" t="s">
        <v>105</v>
      </c>
      <c r="B523" s="156" t="s">
        <v>242</v>
      </c>
      <c r="C523" s="411" t="s">
        <v>291</v>
      </c>
      <c r="D523" s="351"/>
      <c r="E523" s="405">
        <v>20</v>
      </c>
      <c r="F523" s="406">
        <f>2*0.04</f>
        <v>0.08</v>
      </c>
      <c r="G523" s="412">
        <f t="shared" si="161"/>
        <v>1.06</v>
      </c>
      <c r="H523" s="465">
        <v>40.69</v>
      </c>
      <c r="I523" s="465">
        <f>IF(ISBLANK(H523),"",SUM(G523:H523))</f>
        <v>41.75</v>
      </c>
      <c r="J523" s="407">
        <f t="shared" si="158"/>
        <v>52.94</v>
      </c>
      <c r="K523" s="408" t="s">
        <v>18</v>
      </c>
      <c r="L523" s="152">
        <v>0</v>
      </c>
      <c r="M523" s="152"/>
      <c r="N523" s="402">
        <f t="shared" si="138"/>
        <v>0</v>
      </c>
      <c r="O523" s="402">
        <f t="shared" si="139"/>
        <v>0</v>
      </c>
      <c r="P523" s="403"/>
      <c r="Q523" s="152">
        <f t="shared" si="160"/>
        <v>0</v>
      </c>
      <c r="R523" s="152">
        <f t="shared" si="160"/>
        <v>0</v>
      </c>
      <c r="S523" s="402">
        <f t="shared" si="141"/>
        <v>0</v>
      </c>
      <c r="T523" s="404">
        <f t="shared" si="159"/>
        <v>0</v>
      </c>
      <c r="U523" s="403"/>
      <c r="W523" s="43" t="str">
        <f t="shared" si="157"/>
        <v/>
      </c>
      <c r="X523" s="43" t="str">
        <f t="shared" si="146"/>
        <v/>
      </c>
      <c r="Y523" s="43" t="str">
        <f t="shared" si="151"/>
        <v/>
      </c>
    </row>
    <row r="524" spans="1:25" hidden="1">
      <c r="A524" s="155">
        <v>863000</v>
      </c>
      <c r="B524" s="156" t="s">
        <v>242</v>
      </c>
      <c r="C524" s="411" t="s">
        <v>292</v>
      </c>
      <c r="D524" s="351"/>
      <c r="E524" s="405">
        <v>20</v>
      </c>
      <c r="F524" s="406">
        <f>2*0.05</f>
        <v>0.1</v>
      </c>
      <c r="G524" s="412">
        <f t="shared" si="161"/>
        <v>1.3250000000000002</v>
      </c>
      <c r="H524" s="465">
        <v>42.46</v>
      </c>
      <c r="I524" s="465">
        <f t="shared" ref="I524:I543" si="162">IF(ISBLANK(H524),"",SUM(G524:H524))</f>
        <v>43.785000000000004</v>
      </c>
      <c r="J524" s="407">
        <f t="shared" si="158"/>
        <v>55.52</v>
      </c>
      <c r="K524" s="408" t="s">
        <v>18</v>
      </c>
      <c r="L524" s="152">
        <v>0</v>
      </c>
      <c r="M524" s="152"/>
      <c r="N524" s="402">
        <f t="shared" si="138"/>
        <v>0</v>
      </c>
      <c r="O524" s="402">
        <f t="shared" si="139"/>
        <v>0</v>
      </c>
      <c r="P524" s="403"/>
      <c r="Q524" s="152">
        <f t="shared" si="160"/>
        <v>0</v>
      </c>
      <c r="R524" s="152">
        <f t="shared" si="160"/>
        <v>0</v>
      </c>
      <c r="S524" s="402">
        <f t="shared" si="141"/>
        <v>0</v>
      </c>
      <c r="T524" s="404">
        <f t="shared" si="159"/>
        <v>0</v>
      </c>
      <c r="U524" s="403"/>
      <c r="W524" s="43" t="str">
        <f t="shared" si="157"/>
        <v/>
      </c>
      <c r="X524" s="43" t="str">
        <f t="shared" si="146"/>
        <v/>
      </c>
      <c r="Y524" s="43" t="str">
        <f t="shared" si="151"/>
        <v/>
      </c>
    </row>
    <row r="525" spans="1:25" hidden="1">
      <c r="A525" s="155" t="s">
        <v>190</v>
      </c>
      <c r="B525" s="156" t="s">
        <v>242</v>
      </c>
      <c r="C525" s="411" t="s">
        <v>293</v>
      </c>
      <c r="D525" s="351"/>
      <c r="E525" s="405">
        <v>20</v>
      </c>
      <c r="F525" s="406">
        <f>2*0.06</f>
        <v>0.12</v>
      </c>
      <c r="G525" s="412">
        <f t="shared" si="161"/>
        <v>1.5899999999999999</v>
      </c>
      <c r="H525" s="465">
        <v>44.23</v>
      </c>
      <c r="I525" s="465">
        <f t="shared" si="162"/>
        <v>45.819999999999993</v>
      </c>
      <c r="J525" s="407">
        <f t="shared" si="158"/>
        <v>58.1</v>
      </c>
      <c r="K525" s="408" t="s">
        <v>18</v>
      </c>
      <c r="L525" s="152">
        <v>0</v>
      </c>
      <c r="M525" s="152"/>
      <c r="N525" s="402">
        <f t="shared" si="138"/>
        <v>0</v>
      </c>
      <c r="O525" s="402">
        <f t="shared" si="139"/>
        <v>0</v>
      </c>
      <c r="P525" s="403"/>
      <c r="Q525" s="152">
        <f t="shared" si="160"/>
        <v>0</v>
      </c>
      <c r="R525" s="152">
        <f t="shared" si="160"/>
        <v>0</v>
      </c>
      <c r="S525" s="402">
        <f t="shared" si="141"/>
        <v>0</v>
      </c>
      <c r="T525" s="404">
        <f t="shared" si="159"/>
        <v>0</v>
      </c>
      <c r="U525" s="403"/>
      <c r="W525" s="43" t="str">
        <f t="shared" si="157"/>
        <v/>
      </c>
      <c r="X525" s="43" t="str">
        <f t="shared" si="146"/>
        <v/>
      </c>
      <c r="Y525" s="43" t="str">
        <f t="shared" si="151"/>
        <v/>
      </c>
    </row>
    <row r="526" spans="1:25" hidden="1">
      <c r="A526" s="155" t="s">
        <v>191</v>
      </c>
      <c r="B526" s="156" t="s">
        <v>242</v>
      </c>
      <c r="C526" s="411" t="s">
        <v>294</v>
      </c>
      <c r="D526" s="351"/>
      <c r="E526" s="405">
        <v>20</v>
      </c>
      <c r="F526" s="406">
        <f>2*0.07</f>
        <v>0.14000000000000001</v>
      </c>
      <c r="G526" s="412">
        <f t="shared" si="161"/>
        <v>1.8550000000000002</v>
      </c>
      <c r="H526" s="465">
        <v>46.44</v>
      </c>
      <c r="I526" s="465">
        <f t="shared" si="162"/>
        <v>48.294999999999995</v>
      </c>
      <c r="J526" s="407">
        <f t="shared" si="158"/>
        <v>61.24</v>
      </c>
      <c r="K526" s="408" t="s">
        <v>18</v>
      </c>
      <c r="L526" s="152">
        <v>0</v>
      </c>
      <c r="M526" s="152"/>
      <c r="N526" s="402">
        <f t="shared" si="138"/>
        <v>0</v>
      </c>
      <c r="O526" s="402">
        <f t="shared" si="139"/>
        <v>0</v>
      </c>
      <c r="P526" s="403"/>
      <c r="Q526" s="152">
        <f t="shared" si="160"/>
        <v>0</v>
      </c>
      <c r="R526" s="152">
        <f t="shared" si="160"/>
        <v>0</v>
      </c>
      <c r="S526" s="402">
        <f t="shared" si="141"/>
        <v>0</v>
      </c>
      <c r="T526" s="404">
        <f t="shared" si="159"/>
        <v>0</v>
      </c>
      <c r="U526" s="403"/>
      <c r="W526" s="43" t="str">
        <f t="shared" si="157"/>
        <v/>
      </c>
      <c r="X526" s="43" t="str">
        <f t="shared" si="146"/>
        <v/>
      </c>
      <c r="Y526" s="43" t="str">
        <f t="shared" si="151"/>
        <v/>
      </c>
    </row>
    <row r="527" spans="1:25" hidden="1">
      <c r="A527" s="155" t="s">
        <v>192</v>
      </c>
      <c r="B527" s="156" t="s">
        <v>242</v>
      </c>
      <c r="C527" s="411" t="s">
        <v>295</v>
      </c>
      <c r="D527" s="351"/>
      <c r="E527" s="405">
        <v>20</v>
      </c>
      <c r="F527" s="406">
        <f>2*0.08</f>
        <v>0.16</v>
      </c>
      <c r="G527" s="412">
        <f t="shared" si="161"/>
        <v>2.12</v>
      </c>
      <c r="H527" s="465">
        <v>48.65</v>
      </c>
      <c r="I527" s="465">
        <f t="shared" si="162"/>
        <v>50.769999999999996</v>
      </c>
      <c r="J527" s="407">
        <f t="shared" si="158"/>
        <v>64.38</v>
      </c>
      <c r="K527" s="408" t="s">
        <v>18</v>
      </c>
      <c r="L527" s="152">
        <v>0</v>
      </c>
      <c r="M527" s="152"/>
      <c r="N527" s="402">
        <f t="shared" si="138"/>
        <v>0</v>
      </c>
      <c r="O527" s="402">
        <f t="shared" si="139"/>
        <v>0</v>
      </c>
      <c r="P527" s="403"/>
      <c r="Q527" s="152">
        <f t="shared" si="160"/>
        <v>0</v>
      </c>
      <c r="R527" s="152">
        <f t="shared" si="160"/>
        <v>0</v>
      </c>
      <c r="S527" s="402">
        <f t="shared" si="141"/>
        <v>0</v>
      </c>
      <c r="T527" s="404">
        <f t="shared" si="159"/>
        <v>0</v>
      </c>
      <c r="U527" s="403"/>
      <c r="W527" s="43" t="str">
        <f t="shared" si="157"/>
        <v/>
      </c>
      <c r="X527" s="43" t="str">
        <f t="shared" si="146"/>
        <v/>
      </c>
      <c r="Y527" s="43" t="str">
        <f t="shared" si="151"/>
        <v/>
      </c>
    </row>
    <row r="528" spans="1:25" hidden="1">
      <c r="A528" s="155" t="s">
        <v>193</v>
      </c>
      <c r="B528" s="156" t="s">
        <v>242</v>
      </c>
      <c r="C528" s="411" t="s">
        <v>296</v>
      </c>
      <c r="D528" s="351"/>
      <c r="E528" s="405">
        <v>20</v>
      </c>
      <c r="F528" s="406">
        <f>2*0.1</f>
        <v>0.2</v>
      </c>
      <c r="G528" s="412">
        <f t="shared" si="161"/>
        <v>2.6500000000000004</v>
      </c>
      <c r="H528" s="465">
        <v>54.443758620689657</v>
      </c>
      <c r="I528" s="465">
        <f t="shared" si="162"/>
        <v>57.093758620689655</v>
      </c>
      <c r="J528" s="407">
        <f t="shared" si="158"/>
        <v>72.39</v>
      </c>
      <c r="K528" s="408" t="s">
        <v>18</v>
      </c>
      <c r="L528" s="152">
        <v>0</v>
      </c>
      <c r="M528" s="152"/>
      <c r="N528" s="402">
        <f t="shared" si="138"/>
        <v>0</v>
      </c>
      <c r="O528" s="402">
        <f t="shared" si="139"/>
        <v>0</v>
      </c>
      <c r="P528" s="403"/>
      <c r="Q528" s="152">
        <f t="shared" si="160"/>
        <v>0</v>
      </c>
      <c r="R528" s="152">
        <f t="shared" si="160"/>
        <v>0</v>
      </c>
      <c r="S528" s="402">
        <f t="shared" si="141"/>
        <v>0</v>
      </c>
      <c r="T528" s="404">
        <f t="shared" si="159"/>
        <v>0</v>
      </c>
      <c r="U528" s="403"/>
      <c r="W528" s="43" t="str">
        <f t="shared" si="157"/>
        <v/>
      </c>
      <c r="X528" s="43" t="str">
        <f t="shared" si="146"/>
        <v/>
      </c>
      <c r="Y528" s="43" t="str">
        <f t="shared" si="151"/>
        <v/>
      </c>
    </row>
    <row r="529" spans="1:25" hidden="1">
      <c r="A529" s="155" t="s">
        <v>188</v>
      </c>
      <c r="B529" s="156" t="s">
        <v>242</v>
      </c>
      <c r="C529" s="411" t="s">
        <v>297</v>
      </c>
      <c r="D529" s="351"/>
      <c r="E529" s="405">
        <v>20</v>
      </c>
      <c r="F529" s="406">
        <f>2*0.04</f>
        <v>0.08</v>
      </c>
      <c r="G529" s="412">
        <f t="shared" si="161"/>
        <v>1.06</v>
      </c>
      <c r="H529" s="465">
        <v>40.69</v>
      </c>
      <c r="I529" s="465">
        <f t="shared" si="162"/>
        <v>41.75</v>
      </c>
      <c r="J529" s="407">
        <f t="shared" si="158"/>
        <v>52.94</v>
      </c>
      <c r="K529" s="408" t="s">
        <v>18</v>
      </c>
      <c r="L529" s="152">
        <v>0</v>
      </c>
      <c r="M529" s="152"/>
      <c r="N529" s="402">
        <f t="shared" si="138"/>
        <v>0</v>
      </c>
      <c r="O529" s="402">
        <f t="shared" si="139"/>
        <v>0</v>
      </c>
      <c r="P529" s="403"/>
      <c r="Q529" s="152">
        <f t="shared" si="160"/>
        <v>0</v>
      </c>
      <c r="R529" s="152">
        <f t="shared" si="160"/>
        <v>0</v>
      </c>
      <c r="S529" s="402">
        <f t="shared" si="141"/>
        <v>0</v>
      </c>
      <c r="T529" s="404">
        <f t="shared" si="159"/>
        <v>0</v>
      </c>
      <c r="U529" s="403"/>
      <c r="W529" s="43" t="str">
        <f t="shared" si="157"/>
        <v/>
      </c>
      <c r="X529" s="43" t="str">
        <f t="shared" si="146"/>
        <v/>
      </c>
      <c r="Y529" s="43" t="str">
        <f t="shared" si="151"/>
        <v/>
      </c>
    </row>
    <row r="530" spans="1:25" hidden="1">
      <c r="A530" s="155" t="s">
        <v>184</v>
      </c>
      <c r="B530" s="156" t="s">
        <v>242</v>
      </c>
      <c r="C530" s="411" t="s">
        <v>298</v>
      </c>
      <c r="D530" s="351"/>
      <c r="E530" s="405">
        <v>20</v>
      </c>
      <c r="F530" s="406">
        <f>2*0.04</f>
        <v>0.08</v>
      </c>
      <c r="G530" s="412">
        <f t="shared" si="161"/>
        <v>1.06</v>
      </c>
      <c r="H530" s="465">
        <v>44.76</v>
      </c>
      <c r="I530" s="465">
        <f t="shared" si="162"/>
        <v>45.82</v>
      </c>
      <c r="J530" s="407">
        <f t="shared" si="158"/>
        <v>58.1</v>
      </c>
      <c r="K530" s="408" t="s">
        <v>18</v>
      </c>
      <c r="L530" s="152">
        <v>0</v>
      </c>
      <c r="M530" s="152"/>
      <c r="N530" s="402">
        <f t="shared" si="138"/>
        <v>0</v>
      </c>
      <c r="O530" s="402">
        <f t="shared" si="139"/>
        <v>0</v>
      </c>
      <c r="P530" s="403"/>
      <c r="Q530" s="152">
        <f t="shared" si="160"/>
        <v>0</v>
      </c>
      <c r="R530" s="152">
        <f t="shared" si="160"/>
        <v>0</v>
      </c>
      <c r="S530" s="402">
        <f t="shared" si="141"/>
        <v>0</v>
      </c>
      <c r="T530" s="404">
        <f t="shared" si="159"/>
        <v>0</v>
      </c>
      <c r="U530" s="403"/>
      <c r="W530" s="43" t="str">
        <f t="shared" si="157"/>
        <v/>
      </c>
      <c r="X530" s="43" t="str">
        <f t="shared" si="146"/>
        <v/>
      </c>
      <c r="Y530" s="43" t="str">
        <f t="shared" si="151"/>
        <v/>
      </c>
    </row>
    <row r="531" spans="1:25">
      <c r="A531" s="155">
        <v>534906</v>
      </c>
      <c r="B531" s="156" t="s">
        <v>242</v>
      </c>
      <c r="C531" s="411" t="s">
        <v>299</v>
      </c>
      <c r="D531" s="351"/>
      <c r="E531" s="405"/>
      <c r="F531" s="406">
        <f>2*0.06</f>
        <v>0.12</v>
      </c>
      <c r="G531" s="412">
        <f t="shared" si="161"/>
        <v>0.15</v>
      </c>
      <c r="H531" s="465">
        <v>44.23</v>
      </c>
      <c r="I531" s="465">
        <f t="shared" si="162"/>
        <v>44.379999999999995</v>
      </c>
      <c r="J531" s="407">
        <f t="shared" si="158"/>
        <v>56.27</v>
      </c>
      <c r="K531" s="408" t="s">
        <v>18</v>
      </c>
      <c r="L531" s="152">
        <v>547.91</v>
      </c>
      <c r="M531" s="152">
        <v>55</v>
      </c>
      <c r="N531" s="402">
        <f t="shared" si="138"/>
        <v>30830.9</v>
      </c>
      <c r="O531" s="402">
        <f t="shared" si="139"/>
        <v>30135.05</v>
      </c>
      <c r="P531" s="403"/>
      <c r="Q531" s="152">
        <f t="shared" si="160"/>
        <v>547.91</v>
      </c>
      <c r="R531" s="152">
        <v>55</v>
      </c>
      <c r="S531" s="402">
        <f t="shared" si="141"/>
        <v>30830.9</v>
      </c>
      <c r="T531" s="404">
        <f t="shared" si="159"/>
        <v>30135.05</v>
      </c>
      <c r="U531" s="403"/>
      <c r="V531" s="160" t="s">
        <v>200</v>
      </c>
      <c r="W531" s="43" t="str">
        <f t="shared" si="157"/>
        <v>x</v>
      </c>
      <c r="X531" s="43" t="str">
        <f t="shared" si="146"/>
        <v>x</v>
      </c>
      <c r="Y531" s="43" t="str">
        <f t="shared" si="151"/>
        <v>x</v>
      </c>
    </row>
    <row r="532" spans="1:25">
      <c r="A532" s="155" t="s">
        <v>189</v>
      </c>
      <c r="B532" s="156" t="s">
        <v>242</v>
      </c>
      <c r="C532" s="468" t="s">
        <v>300</v>
      </c>
      <c r="D532" s="351"/>
      <c r="E532" s="405"/>
      <c r="F532" s="406">
        <f>2*0.06</f>
        <v>0.12</v>
      </c>
      <c r="G532" s="412">
        <f t="shared" si="161"/>
        <v>0.15</v>
      </c>
      <c r="H532" s="465">
        <v>48.65</v>
      </c>
      <c r="I532" s="465">
        <f t="shared" si="162"/>
        <v>48.8</v>
      </c>
      <c r="J532" s="407">
        <f t="shared" si="158"/>
        <v>61.88</v>
      </c>
      <c r="K532" s="408" t="s">
        <v>18</v>
      </c>
      <c r="L532" s="471">
        <v>84.28</v>
      </c>
      <c r="M532" s="152">
        <v>60</v>
      </c>
      <c r="N532" s="402">
        <f t="shared" si="138"/>
        <v>5215.25</v>
      </c>
      <c r="O532" s="402">
        <f t="shared" si="139"/>
        <v>5056.8</v>
      </c>
      <c r="P532" s="403"/>
      <c r="Q532" s="152">
        <f t="shared" si="160"/>
        <v>84.28</v>
      </c>
      <c r="R532" s="152">
        <f t="shared" si="160"/>
        <v>60</v>
      </c>
      <c r="S532" s="402">
        <f t="shared" si="141"/>
        <v>5215.25</v>
      </c>
      <c r="T532" s="404">
        <f t="shared" si="159"/>
        <v>5056.8</v>
      </c>
      <c r="U532" s="403"/>
      <c r="V532" s="160" t="s">
        <v>200</v>
      </c>
      <c r="W532" s="43" t="str">
        <f t="shared" si="157"/>
        <v>x</v>
      </c>
      <c r="X532" s="43" t="str">
        <f t="shared" si="146"/>
        <v>x</v>
      </c>
      <c r="Y532" s="43" t="str">
        <f t="shared" si="151"/>
        <v>x</v>
      </c>
    </row>
    <row r="533" spans="1:25" hidden="1">
      <c r="A533" s="155">
        <v>534908</v>
      </c>
      <c r="B533" s="156" t="s">
        <v>242</v>
      </c>
      <c r="C533" s="411" t="s">
        <v>301</v>
      </c>
      <c r="D533" s="351"/>
      <c r="E533" s="405">
        <v>20</v>
      </c>
      <c r="F533" s="406">
        <f>2*0.08</f>
        <v>0.16</v>
      </c>
      <c r="G533" s="412">
        <f t="shared" si="161"/>
        <v>2.12</v>
      </c>
      <c r="H533" s="465">
        <v>48.65</v>
      </c>
      <c r="I533" s="465">
        <f t="shared" si="162"/>
        <v>50.769999999999996</v>
      </c>
      <c r="J533" s="407">
        <f t="shared" si="158"/>
        <v>64.38</v>
      </c>
      <c r="K533" s="408" t="s">
        <v>18</v>
      </c>
      <c r="L533" s="152">
        <v>0</v>
      </c>
      <c r="M533" s="152"/>
      <c r="N533" s="402">
        <f t="shared" si="138"/>
        <v>0</v>
      </c>
      <c r="O533" s="402">
        <f t="shared" si="139"/>
        <v>0</v>
      </c>
      <c r="P533" s="403"/>
      <c r="Q533" s="152">
        <f t="shared" si="160"/>
        <v>0</v>
      </c>
      <c r="R533" s="152">
        <f t="shared" si="160"/>
        <v>0</v>
      </c>
      <c r="S533" s="402">
        <f t="shared" si="141"/>
        <v>0</v>
      </c>
      <c r="T533" s="404">
        <f t="shared" si="159"/>
        <v>0</v>
      </c>
      <c r="U533" s="403"/>
      <c r="W533" s="43" t="str">
        <f t="shared" si="157"/>
        <v/>
      </c>
      <c r="X533" s="43" t="str">
        <f t="shared" si="146"/>
        <v/>
      </c>
      <c r="Y533" s="43" t="str">
        <f t="shared" si="151"/>
        <v/>
      </c>
    </row>
    <row r="534" spans="1:25" hidden="1">
      <c r="A534" s="155" t="s">
        <v>185</v>
      </c>
      <c r="B534" s="156" t="s">
        <v>242</v>
      </c>
      <c r="C534" s="411" t="s">
        <v>302</v>
      </c>
      <c r="D534" s="351"/>
      <c r="E534" s="405">
        <v>20</v>
      </c>
      <c r="F534" s="406">
        <f>2*0.08</f>
        <v>0.16</v>
      </c>
      <c r="G534" s="412">
        <f t="shared" si="161"/>
        <v>2.12</v>
      </c>
      <c r="H534" s="465">
        <v>53.52</v>
      </c>
      <c r="I534" s="465">
        <f t="shared" si="162"/>
        <v>55.64</v>
      </c>
      <c r="J534" s="407">
        <f t="shared" si="158"/>
        <v>70.55</v>
      </c>
      <c r="K534" s="408" t="s">
        <v>18</v>
      </c>
      <c r="L534" s="152">
        <v>0</v>
      </c>
      <c r="M534" s="152"/>
      <c r="N534" s="402">
        <f t="shared" si="138"/>
        <v>0</v>
      </c>
      <c r="O534" s="402">
        <f t="shared" si="139"/>
        <v>0</v>
      </c>
      <c r="P534" s="403"/>
      <c r="Q534" s="152">
        <f t="shared" si="160"/>
        <v>0</v>
      </c>
      <c r="R534" s="152">
        <f t="shared" si="160"/>
        <v>0</v>
      </c>
      <c r="S534" s="402">
        <f t="shared" si="141"/>
        <v>0</v>
      </c>
      <c r="T534" s="404">
        <f t="shared" si="159"/>
        <v>0</v>
      </c>
      <c r="U534" s="403"/>
      <c r="W534" s="43" t="str">
        <f t="shared" si="157"/>
        <v/>
      </c>
      <c r="X534" s="43" t="str">
        <f t="shared" si="146"/>
        <v/>
      </c>
      <c r="Y534" s="43" t="str">
        <f t="shared" si="151"/>
        <v/>
      </c>
    </row>
    <row r="535" spans="1:25" hidden="1">
      <c r="A535" s="155" t="s">
        <v>186</v>
      </c>
      <c r="B535" s="156" t="s">
        <v>242</v>
      </c>
      <c r="C535" s="411" t="s">
        <v>303</v>
      </c>
      <c r="D535" s="351"/>
      <c r="E535" s="405">
        <v>20</v>
      </c>
      <c r="F535" s="406">
        <f>2*0.1</f>
        <v>0.2</v>
      </c>
      <c r="G535" s="412">
        <f t="shared" si="161"/>
        <v>2.6500000000000004</v>
      </c>
      <c r="H535" s="465">
        <v>54.443758620689657</v>
      </c>
      <c r="I535" s="465">
        <f t="shared" si="162"/>
        <v>57.093758620689655</v>
      </c>
      <c r="J535" s="407">
        <f t="shared" si="158"/>
        <v>72.39</v>
      </c>
      <c r="K535" s="408" t="s">
        <v>18</v>
      </c>
      <c r="L535" s="152">
        <v>0</v>
      </c>
      <c r="M535" s="152"/>
      <c r="N535" s="402">
        <f t="shared" si="138"/>
        <v>0</v>
      </c>
      <c r="O535" s="402">
        <f t="shared" si="139"/>
        <v>0</v>
      </c>
      <c r="P535" s="403"/>
      <c r="Q535" s="152">
        <f t="shared" si="160"/>
        <v>0</v>
      </c>
      <c r="R535" s="152">
        <f t="shared" si="160"/>
        <v>0</v>
      </c>
      <c r="S535" s="402">
        <f t="shared" si="141"/>
        <v>0</v>
      </c>
      <c r="T535" s="404">
        <f t="shared" si="159"/>
        <v>0</v>
      </c>
      <c r="U535" s="403"/>
      <c r="W535" s="43" t="str">
        <f t="shared" si="157"/>
        <v/>
      </c>
      <c r="X535" s="43" t="str">
        <f t="shared" si="146"/>
        <v/>
      </c>
      <c r="Y535" s="43" t="str">
        <f t="shared" si="151"/>
        <v/>
      </c>
    </row>
    <row r="536" spans="1:25" hidden="1">
      <c r="A536" s="155" t="s">
        <v>187</v>
      </c>
      <c r="B536" s="156" t="s">
        <v>242</v>
      </c>
      <c r="C536" s="411" t="s">
        <v>304</v>
      </c>
      <c r="D536" s="351"/>
      <c r="E536" s="405">
        <v>20</v>
      </c>
      <c r="F536" s="406">
        <f>2*0.1</f>
        <v>0.2</v>
      </c>
      <c r="G536" s="412">
        <f t="shared" si="161"/>
        <v>2.6500000000000004</v>
      </c>
      <c r="H536" s="465">
        <v>59.89</v>
      </c>
      <c r="I536" s="465">
        <f t="shared" si="162"/>
        <v>62.54</v>
      </c>
      <c r="J536" s="407">
        <f t="shared" si="158"/>
        <v>79.3</v>
      </c>
      <c r="K536" s="408" t="s">
        <v>18</v>
      </c>
      <c r="L536" s="152">
        <v>0</v>
      </c>
      <c r="M536" s="152"/>
      <c r="N536" s="402">
        <f t="shared" si="138"/>
        <v>0</v>
      </c>
      <c r="O536" s="402">
        <f t="shared" si="139"/>
        <v>0</v>
      </c>
      <c r="P536" s="403"/>
      <c r="Q536" s="152">
        <f t="shared" si="160"/>
        <v>0</v>
      </c>
      <c r="R536" s="152">
        <f t="shared" si="160"/>
        <v>0</v>
      </c>
      <c r="S536" s="402">
        <f t="shared" si="141"/>
        <v>0</v>
      </c>
      <c r="T536" s="404">
        <f t="shared" si="159"/>
        <v>0</v>
      </c>
      <c r="U536" s="403"/>
      <c r="W536" s="43" t="str">
        <f t="shared" si="157"/>
        <v/>
      </c>
      <c r="X536" s="43" t="str">
        <f t="shared" si="146"/>
        <v/>
      </c>
      <c r="Y536" s="43" t="str">
        <f t="shared" si="151"/>
        <v/>
      </c>
    </row>
    <row r="537" spans="1:25" hidden="1">
      <c r="A537" s="155" t="s">
        <v>194</v>
      </c>
      <c r="B537" s="156" t="s">
        <v>242</v>
      </c>
      <c r="C537" s="411" t="s">
        <v>305</v>
      </c>
      <c r="D537" s="351"/>
      <c r="E537" s="405">
        <v>20</v>
      </c>
      <c r="F537" s="406">
        <f>2*0.04</f>
        <v>0.08</v>
      </c>
      <c r="G537" s="412">
        <f t="shared" si="161"/>
        <v>1.06</v>
      </c>
      <c r="H537" s="465">
        <v>40.69</v>
      </c>
      <c r="I537" s="465">
        <f t="shared" si="162"/>
        <v>41.75</v>
      </c>
      <c r="J537" s="407">
        <f t="shared" si="158"/>
        <v>52.94</v>
      </c>
      <c r="K537" s="408" t="s">
        <v>18</v>
      </c>
      <c r="L537" s="152">
        <v>0</v>
      </c>
      <c r="M537" s="152"/>
      <c r="N537" s="402">
        <f t="shared" si="138"/>
        <v>0</v>
      </c>
      <c r="O537" s="402">
        <f t="shared" si="139"/>
        <v>0</v>
      </c>
      <c r="P537" s="403"/>
      <c r="Q537" s="152">
        <f t="shared" si="160"/>
        <v>0</v>
      </c>
      <c r="R537" s="152">
        <f t="shared" si="160"/>
        <v>0</v>
      </c>
      <c r="S537" s="402">
        <f t="shared" si="141"/>
        <v>0</v>
      </c>
      <c r="T537" s="404">
        <f t="shared" si="159"/>
        <v>0</v>
      </c>
      <c r="U537" s="403"/>
      <c r="W537" s="43" t="str">
        <f t="shared" si="157"/>
        <v/>
      </c>
      <c r="X537" s="43" t="str">
        <f t="shared" si="146"/>
        <v/>
      </c>
      <c r="Y537" s="43" t="str">
        <f t="shared" si="151"/>
        <v/>
      </c>
    </row>
    <row r="538" spans="1:25" hidden="1">
      <c r="A538" s="155" t="s">
        <v>195</v>
      </c>
      <c r="B538" s="156" t="s">
        <v>242</v>
      </c>
      <c r="C538" s="411" t="s">
        <v>306</v>
      </c>
      <c r="D538" s="351"/>
      <c r="E538" s="405">
        <v>20</v>
      </c>
      <c r="F538" s="406">
        <f>2*0.05</f>
        <v>0.1</v>
      </c>
      <c r="G538" s="412">
        <f t="shared" si="161"/>
        <v>1.3250000000000002</v>
      </c>
      <c r="H538" s="465">
        <v>42.46</v>
      </c>
      <c r="I538" s="465">
        <f t="shared" si="162"/>
        <v>43.785000000000004</v>
      </c>
      <c r="J538" s="407">
        <f t="shared" si="158"/>
        <v>55.52</v>
      </c>
      <c r="K538" s="408" t="s">
        <v>18</v>
      </c>
      <c r="L538" s="152">
        <v>0</v>
      </c>
      <c r="M538" s="152"/>
      <c r="N538" s="402">
        <f t="shared" si="138"/>
        <v>0</v>
      </c>
      <c r="O538" s="402">
        <f t="shared" si="139"/>
        <v>0</v>
      </c>
      <c r="P538" s="403"/>
      <c r="Q538" s="152">
        <f t="shared" si="160"/>
        <v>0</v>
      </c>
      <c r="R538" s="152">
        <f t="shared" si="160"/>
        <v>0</v>
      </c>
      <c r="S538" s="402">
        <f t="shared" si="141"/>
        <v>0</v>
      </c>
      <c r="T538" s="404">
        <f t="shared" si="159"/>
        <v>0</v>
      </c>
      <c r="U538" s="403"/>
      <c r="W538" s="43" t="str">
        <f t="shared" si="157"/>
        <v/>
      </c>
      <c r="X538" s="43" t="str">
        <f t="shared" si="146"/>
        <v/>
      </c>
      <c r="Y538" s="43" t="str">
        <f t="shared" si="151"/>
        <v/>
      </c>
    </row>
    <row r="539" spans="1:25" hidden="1">
      <c r="A539" s="155" t="s">
        <v>180</v>
      </c>
      <c r="B539" s="156" t="s">
        <v>242</v>
      </c>
      <c r="C539" s="411" t="s">
        <v>307</v>
      </c>
      <c r="D539" s="351"/>
      <c r="E539" s="405">
        <v>20</v>
      </c>
      <c r="F539" s="406">
        <f>2*0.06</f>
        <v>0.12</v>
      </c>
      <c r="G539" s="412">
        <f t="shared" si="161"/>
        <v>1.5899999999999999</v>
      </c>
      <c r="H539" s="465">
        <v>44.23</v>
      </c>
      <c r="I539" s="465">
        <f t="shared" si="162"/>
        <v>45.819999999999993</v>
      </c>
      <c r="J539" s="407">
        <f t="shared" si="158"/>
        <v>58.1</v>
      </c>
      <c r="K539" s="408" t="s">
        <v>18</v>
      </c>
      <c r="L539" s="152">
        <v>0</v>
      </c>
      <c r="M539" s="152"/>
      <c r="N539" s="402">
        <f t="shared" si="138"/>
        <v>0</v>
      </c>
      <c r="O539" s="402">
        <f t="shared" si="139"/>
        <v>0</v>
      </c>
      <c r="P539" s="403"/>
      <c r="Q539" s="152">
        <f t="shared" si="160"/>
        <v>0</v>
      </c>
      <c r="R539" s="152">
        <f t="shared" si="160"/>
        <v>0</v>
      </c>
      <c r="S539" s="402">
        <f t="shared" si="141"/>
        <v>0</v>
      </c>
      <c r="T539" s="404">
        <f t="shared" si="159"/>
        <v>0</v>
      </c>
      <c r="U539" s="403"/>
      <c r="W539" s="43" t="str">
        <f t="shared" si="157"/>
        <v/>
      </c>
      <c r="X539" s="43" t="str">
        <f t="shared" si="146"/>
        <v/>
      </c>
      <c r="Y539" s="43" t="str">
        <f t="shared" si="151"/>
        <v/>
      </c>
    </row>
    <row r="540" spans="1:25" hidden="1">
      <c r="A540" s="155" t="s">
        <v>196</v>
      </c>
      <c r="B540" s="156" t="s">
        <v>242</v>
      </c>
      <c r="C540" s="411" t="s">
        <v>308</v>
      </c>
      <c r="D540" s="351"/>
      <c r="E540" s="405">
        <v>20</v>
      </c>
      <c r="F540" s="406">
        <f>2*0.065</f>
        <v>0.13</v>
      </c>
      <c r="G540" s="412">
        <f t="shared" si="161"/>
        <v>1.7225000000000001</v>
      </c>
      <c r="H540" s="465">
        <v>46.44</v>
      </c>
      <c r="I540" s="465">
        <f t="shared" si="162"/>
        <v>48.162499999999994</v>
      </c>
      <c r="J540" s="407">
        <f t="shared" si="158"/>
        <v>61.07</v>
      </c>
      <c r="K540" s="408" t="s">
        <v>18</v>
      </c>
      <c r="L540" s="152">
        <v>0</v>
      </c>
      <c r="M540" s="152"/>
      <c r="N540" s="402">
        <f t="shared" si="138"/>
        <v>0</v>
      </c>
      <c r="O540" s="402">
        <f t="shared" si="139"/>
        <v>0</v>
      </c>
      <c r="P540" s="403"/>
      <c r="Q540" s="152">
        <f t="shared" si="160"/>
        <v>0</v>
      </c>
      <c r="R540" s="152">
        <f t="shared" si="160"/>
        <v>0</v>
      </c>
      <c r="S540" s="402">
        <f t="shared" si="141"/>
        <v>0</v>
      </c>
      <c r="T540" s="404">
        <f t="shared" si="159"/>
        <v>0</v>
      </c>
      <c r="U540" s="403"/>
      <c r="W540" s="43" t="str">
        <f t="shared" si="157"/>
        <v/>
      </c>
      <c r="X540" s="43" t="str">
        <f t="shared" si="146"/>
        <v/>
      </c>
      <c r="Y540" s="43" t="str">
        <f t="shared" si="151"/>
        <v/>
      </c>
    </row>
    <row r="541" spans="1:25" hidden="1">
      <c r="A541" s="155" t="s">
        <v>181</v>
      </c>
      <c r="B541" s="156" t="s">
        <v>242</v>
      </c>
      <c r="C541" s="411" t="s">
        <v>309</v>
      </c>
      <c r="D541" s="351"/>
      <c r="E541" s="405">
        <v>20</v>
      </c>
      <c r="F541" s="406">
        <f>2*0.08</f>
        <v>0.16</v>
      </c>
      <c r="G541" s="412">
        <f t="shared" si="161"/>
        <v>2.12</v>
      </c>
      <c r="H541" s="465">
        <v>48.65</v>
      </c>
      <c r="I541" s="465">
        <f t="shared" si="162"/>
        <v>50.769999999999996</v>
      </c>
      <c r="J541" s="407">
        <f t="shared" si="158"/>
        <v>64.38</v>
      </c>
      <c r="K541" s="408" t="s">
        <v>18</v>
      </c>
      <c r="L541" s="152">
        <v>0</v>
      </c>
      <c r="M541" s="152"/>
      <c r="N541" s="402">
        <f t="shared" si="138"/>
        <v>0</v>
      </c>
      <c r="O541" s="402">
        <f t="shared" si="139"/>
        <v>0</v>
      </c>
      <c r="P541" s="403"/>
      <c r="Q541" s="152">
        <f t="shared" si="160"/>
        <v>0</v>
      </c>
      <c r="R541" s="152">
        <f t="shared" si="160"/>
        <v>0</v>
      </c>
      <c r="S541" s="402">
        <f t="shared" si="141"/>
        <v>0</v>
      </c>
      <c r="T541" s="404">
        <f t="shared" si="159"/>
        <v>0</v>
      </c>
      <c r="U541" s="403"/>
      <c r="W541" s="43" t="str">
        <f t="shared" si="157"/>
        <v/>
      </c>
      <c r="X541" s="43" t="str">
        <f t="shared" si="146"/>
        <v/>
      </c>
      <c r="Y541" s="43" t="str">
        <f t="shared" si="151"/>
        <v/>
      </c>
    </row>
    <row r="542" spans="1:25" hidden="1">
      <c r="A542" s="155" t="s">
        <v>182</v>
      </c>
      <c r="B542" s="156" t="s">
        <v>242</v>
      </c>
      <c r="C542" s="411" t="s">
        <v>310</v>
      </c>
      <c r="D542" s="351"/>
      <c r="E542" s="405">
        <v>20</v>
      </c>
      <c r="F542" s="406">
        <f>2*0.1</f>
        <v>0.2</v>
      </c>
      <c r="G542" s="412">
        <f t="shared" si="161"/>
        <v>2.6500000000000004</v>
      </c>
      <c r="H542" s="465">
        <v>54.443758620689657</v>
      </c>
      <c r="I542" s="465">
        <f t="shared" si="162"/>
        <v>57.093758620689655</v>
      </c>
      <c r="J542" s="407">
        <f t="shared" si="158"/>
        <v>72.39</v>
      </c>
      <c r="K542" s="408" t="s">
        <v>18</v>
      </c>
      <c r="L542" s="152">
        <v>0</v>
      </c>
      <c r="M542" s="152"/>
      <c r="N542" s="402">
        <f t="shared" si="138"/>
        <v>0</v>
      </c>
      <c r="O542" s="402">
        <f t="shared" si="139"/>
        <v>0</v>
      </c>
      <c r="P542" s="403"/>
      <c r="Q542" s="152">
        <f t="shared" si="160"/>
        <v>0</v>
      </c>
      <c r="R542" s="152">
        <f t="shared" si="160"/>
        <v>0</v>
      </c>
      <c r="S542" s="402">
        <f t="shared" si="141"/>
        <v>0</v>
      </c>
      <c r="T542" s="404">
        <f t="shared" si="159"/>
        <v>0</v>
      </c>
      <c r="U542" s="403"/>
      <c r="W542" s="43" t="str">
        <f t="shared" si="157"/>
        <v/>
      </c>
      <c r="X542" s="43" t="str">
        <f t="shared" si="146"/>
        <v/>
      </c>
      <c r="Y542" s="43" t="str">
        <f t="shared" si="151"/>
        <v/>
      </c>
    </row>
    <row r="543" spans="1:25" hidden="1">
      <c r="A543" s="155" t="s">
        <v>197</v>
      </c>
      <c r="B543" s="156" t="s">
        <v>242</v>
      </c>
      <c r="C543" s="411" t="s">
        <v>311</v>
      </c>
      <c r="D543" s="351"/>
      <c r="E543" s="405">
        <v>20</v>
      </c>
      <c r="F543" s="406">
        <f>2*0.12</f>
        <v>0.24</v>
      </c>
      <c r="G543" s="412">
        <f t="shared" si="161"/>
        <v>3.1799999999999997</v>
      </c>
      <c r="H543" s="465">
        <v>59.89</v>
      </c>
      <c r="I543" s="465">
        <f t="shared" si="162"/>
        <v>63.07</v>
      </c>
      <c r="J543" s="407">
        <f t="shared" si="158"/>
        <v>79.97</v>
      </c>
      <c r="K543" s="408" t="s">
        <v>18</v>
      </c>
      <c r="L543" s="152">
        <v>0</v>
      </c>
      <c r="M543" s="152"/>
      <c r="N543" s="402">
        <f t="shared" si="138"/>
        <v>0</v>
      </c>
      <c r="O543" s="402">
        <f t="shared" si="139"/>
        <v>0</v>
      </c>
      <c r="P543" s="403"/>
      <c r="Q543" s="152">
        <f t="shared" si="160"/>
        <v>0</v>
      </c>
      <c r="R543" s="152">
        <f t="shared" si="160"/>
        <v>0</v>
      </c>
      <c r="S543" s="402">
        <f t="shared" si="141"/>
        <v>0</v>
      </c>
      <c r="T543" s="404">
        <f t="shared" si="159"/>
        <v>0</v>
      </c>
      <c r="U543" s="403"/>
      <c r="W543" s="43" t="str">
        <f t="shared" si="157"/>
        <v/>
      </c>
      <c r="X543" s="43" t="str">
        <f t="shared" si="146"/>
        <v/>
      </c>
      <c r="Y543" s="43" t="str">
        <f t="shared" si="151"/>
        <v/>
      </c>
    </row>
    <row r="544" spans="1:25" hidden="1">
      <c r="A544" s="155">
        <v>84183</v>
      </c>
      <c r="B544" s="156" t="s">
        <v>241</v>
      </c>
      <c r="C544" s="411" t="s">
        <v>312</v>
      </c>
      <c r="D544" s="351"/>
      <c r="E544" s="405">
        <v>20</v>
      </c>
      <c r="F544" s="406">
        <v>0.3</v>
      </c>
      <c r="G544" s="412">
        <f t="shared" si="161"/>
        <v>3.9749999999999996</v>
      </c>
      <c r="H544" s="465">
        <v>86.9</v>
      </c>
      <c r="I544" s="465">
        <f>IF(ISBLANK(H544),"",SUM(G544:H544))*0.6806</f>
        <v>61.849525</v>
      </c>
      <c r="J544" s="407">
        <f t="shared" si="158"/>
        <v>78.430000000000007</v>
      </c>
      <c r="K544" s="408" t="s">
        <v>18</v>
      </c>
      <c r="L544" s="152">
        <v>0</v>
      </c>
      <c r="M544" s="152"/>
      <c r="N544" s="402">
        <f t="shared" si="138"/>
        <v>0</v>
      </c>
      <c r="O544" s="402">
        <f t="shared" si="139"/>
        <v>0</v>
      </c>
      <c r="P544" s="403"/>
      <c r="Q544" s="152">
        <f t="shared" si="160"/>
        <v>0</v>
      </c>
      <c r="R544" s="152">
        <f t="shared" si="160"/>
        <v>0</v>
      </c>
      <c r="S544" s="402">
        <f t="shared" si="141"/>
        <v>0</v>
      </c>
      <c r="T544" s="404">
        <f t="shared" si="159"/>
        <v>0</v>
      </c>
      <c r="U544" s="403"/>
      <c r="W544" s="43" t="str">
        <f t="shared" si="157"/>
        <v/>
      </c>
      <c r="X544" s="43" t="str">
        <f t="shared" si="146"/>
        <v/>
      </c>
      <c r="Y544" s="43" t="str">
        <f t="shared" si="151"/>
        <v/>
      </c>
    </row>
    <row r="545" spans="1:25" hidden="1">
      <c r="A545" s="155">
        <v>85178</v>
      </c>
      <c r="B545" s="156" t="s">
        <v>241</v>
      </c>
      <c r="C545" s="411" t="s">
        <v>648</v>
      </c>
      <c r="D545" s="351"/>
      <c r="E545" s="405"/>
      <c r="F545" s="406"/>
      <c r="G545" s="158">
        <v>0</v>
      </c>
      <c r="H545" s="465">
        <v>46.69</v>
      </c>
      <c r="I545" s="465">
        <f t="shared" ref="I545:I556" si="163">IF(ISBLANK(H545),"",SUM(G545:H545))</f>
        <v>46.69</v>
      </c>
      <c r="J545" s="407">
        <f t="shared" si="158"/>
        <v>59.2</v>
      </c>
      <c r="K545" s="408" t="s">
        <v>23</v>
      </c>
      <c r="L545" s="152">
        <v>0</v>
      </c>
      <c r="M545" s="152"/>
      <c r="N545" s="402">
        <f t="shared" si="138"/>
        <v>0</v>
      </c>
      <c r="O545" s="402">
        <f t="shared" si="139"/>
        <v>0</v>
      </c>
      <c r="P545" s="403"/>
      <c r="Q545" s="152">
        <f t="shared" si="160"/>
        <v>0</v>
      </c>
      <c r="R545" s="152">
        <f t="shared" si="160"/>
        <v>0</v>
      </c>
      <c r="S545" s="402">
        <f t="shared" si="141"/>
        <v>0</v>
      </c>
      <c r="T545" s="404">
        <f t="shared" si="159"/>
        <v>0</v>
      </c>
      <c r="U545" s="403"/>
      <c r="W545" s="43" t="str">
        <f t="shared" si="157"/>
        <v/>
      </c>
      <c r="X545" s="43" t="str">
        <f t="shared" si="146"/>
        <v/>
      </c>
      <c r="Y545" s="43" t="str">
        <f t="shared" si="151"/>
        <v/>
      </c>
    </row>
    <row r="546" spans="1:25" hidden="1">
      <c r="A546" s="155" t="s">
        <v>644</v>
      </c>
      <c r="B546" s="156" t="s">
        <v>241</v>
      </c>
      <c r="C546" s="411" t="s">
        <v>646</v>
      </c>
      <c r="D546" s="351"/>
      <c r="E546" s="405"/>
      <c r="F546" s="406"/>
      <c r="G546" s="158">
        <v>0</v>
      </c>
      <c r="H546" s="465">
        <v>84.37</v>
      </c>
      <c r="I546" s="465">
        <f t="shared" ref="I546:I547" si="164">IF(ISBLANK(H546),"",SUM(G546:H546))</f>
        <v>84.37</v>
      </c>
      <c r="J546" s="407">
        <f t="shared" si="158"/>
        <v>106.98</v>
      </c>
      <c r="K546" s="408" t="s">
        <v>23</v>
      </c>
      <c r="L546" s="152">
        <v>0</v>
      </c>
      <c r="M546" s="152"/>
      <c r="N546" s="402">
        <f t="shared" si="138"/>
        <v>0</v>
      </c>
      <c r="O546" s="402">
        <f t="shared" si="139"/>
        <v>0</v>
      </c>
      <c r="P546" s="403"/>
      <c r="Q546" s="152">
        <f t="shared" si="160"/>
        <v>0</v>
      </c>
      <c r="R546" s="152">
        <f t="shared" si="160"/>
        <v>0</v>
      </c>
      <c r="S546" s="402">
        <f t="shared" si="141"/>
        <v>0</v>
      </c>
      <c r="T546" s="404">
        <f t="shared" si="159"/>
        <v>0</v>
      </c>
      <c r="U546" s="403"/>
      <c r="W546" s="43" t="str">
        <f t="shared" si="157"/>
        <v/>
      </c>
      <c r="X546" s="43" t="str">
        <f t="shared" si="146"/>
        <v/>
      </c>
      <c r="Y546" s="43" t="str">
        <f t="shared" si="151"/>
        <v/>
      </c>
    </row>
    <row r="547" spans="1:25" hidden="1">
      <c r="A547" s="155" t="s">
        <v>645</v>
      </c>
      <c r="B547" s="156" t="s">
        <v>241</v>
      </c>
      <c r="C547" s="411" t="s">
        <v>647</v>
      </c>
      <c r="D547" s="351"/>
      <c r="E547" s="405"/>
      <c r="F547" s="406"/>
      <c r="G547" s="158">
        <v>0</v>
      </c>
      <c r="H547" s="465">
        <v>106.78</v>
      </c>
      <c r="I547" s="465">
        <f t="shared" si="164"/>
        <v>106.78</v>
      </c>
      <c r="J547" s="407">
        <f t="shared" si="158"/>
        <v>135.4</v>
      </c>
      <c r="K547" s="408" t="s">
        <v>23</v>
      </c>
      <c r="L547" s="152">
        <v>0</v>
      </c>
      <c r="M547" s="152"/>
      <c r="N547" s="402">
        <f t="shared" si="138"/>
        <v>0</v>
      </c>
      <c r="O547" s="402">
        <f t="shared" si="139"/>
        <v>0</v>
      </c>
      <c r="P547" s="403"/>
      <c r="Q547" s="152">
        <f t="shared" si="160"/>
        <v>0</v>
      </c>
      <c r="R547" s="152">
        <f t="shared" si="160"/>
        <v>0</v>
      </c>
      <c r="S547" s="402">
        <f t="shared" si="141"/>
        <v>0</v>
      </c>
      <c r="T547" s="404">
        <f t="shared" si="159"/>
        <v>0</v>
      </c>
      <c r="U547" s="403"/>
      <c r="W547" s="43" t="str">
        <f t="shared" si="157"/>
        <v/>
      </c>
      <c r="X547" s="43" t="str">
        <f t="shared" si="146"/>
        <v/>
      </c>
      <c r="Y547" s="43" t="str">
        <f t="shared" si="151"/>
        <v/>
      </c>
    </row>
    <row r="548" spans="1:25" hidden="1">
      <c r="A548" s="155" t="s">
        <v>642</v>
      </c>
      <c r="B548" s="156" t="s">
        <v>241</v>
      </c>
      <c r="C548" s="411" t="s">
        <v>640</v>
      </c>
      <c r="D548" s="351"/>
      <c r="E548" s="405"/>
      <c r="F548" s="406"/>
      <c r="G548" s="158">
        <v>0</v>
      </c>
      <c r="H548" s="465">
        <v>6.65</v>
      </c>
      <c r="I548" s="465">
        <f t="shared" si="163"/>
        <v>6.65</v>
      </c>
      <c r="J548" s="407">
        <f t="shared" si="158"/>
        <v>8.43</v>
      </c>
      <c r="K548" s="408" t="s">
        <v>18</v>
      </c>
      <c r="L548" s="152">
        <v>0</v>
      </c>
      <c r="M548" s="152"/>
      <c r="N548" s="402">
        <f t="shared" si="138"/>
        <v>0</v>
      </c>
      <c r="O548" s="402">
        <f t="shared" si="139"/>
        <v>0</v>
      </c>
      <c r="P548" s="403"/>
      <c r="Q548" s="152">
        <f t="shared" si="160"/>
        <v>0</v>
      </c>
      <c r="R548" s="152">
        <f t="shared" si="160"/>
        <v>0</v>
      </c>
      <c r="S548" s="402">
        <f t="shared" si="141"/>
        <v>0</v>
      </c>
      <c r="T548" s="404">
        <f t="shared" si="159"/>
        <v>0</v>
      </c>
      <c r="U548" s="403"/>
      <c r="W548" s="43" t="str">
        <f t="shared" si="157"/>
        <v/>
      </c>
      <c r="X548" s="43" t="str">
        <f t="shared" si="146"/>
        <v/>
      </c>
      <c r="Y548" s="43" t="str">
        <f t="shared" si="151"/>
        <v/>
      </c>
    </row>
    <row r="549" spans="1:25" hidden="1">
      <c r="A549" s="155">
        <v>85180</v>
      </c>
      <c r="B549" s="156" t="s">
        <v>241</v>
      </c>
      <c r="C549" s="411" t="s">
        <v>643</v>
      </c>
      <c r="D549" s="351"/>
      <c r="E549" s="405"/>
      <c r="F549" s="406"/>
      <c r="G549" s="158">
        <v>0</v>
      </c>
      <c r="H549" s="465">
        <v>7.79</v>
      </c>
      <c r="I549" s="465">
        <f t="shared" si="163"/>
        <v>7.79</v>
      </c>
      <c r="J549" s="407">
        <f t="shared" si="158"/>
        <v>9.8800000000000008</v>
      </c>
      <c r="K549" s="408" t="s">
        <v>18</v>
      </c>
      <c r="L549" s="152">
        <v>0</v>
      </c>
      <c r="M549" s="152"/>
      <c r="N549" s="402">
        <f t="shared" si="138"/>
        <v>0</v>
      </c>
      <c r="O549" s="402">
        <f t="shared" si="139"/>
        <v>0</v>
      </c>
      <c r="P549" s="403"/>
      <c r="Q549" s="152">
        <f t="shared" si="160"/>
        <v>0</v>
      </c>
      <c r="R549" s="152">
        <f t="shared" si="160"/>
        <v>0</v>
      </c>
      <c r="S549" s="402">
        <f t="shared" si="141"/>
        <v>0</v>
      </c>
      <c r="T549" s="404">
        <f t="shared" si="159"/>
        <v>0</v>
      </c>
      <c r="U549" s="403"/>
      <c r="W549" s="43" t="str">
        <f t="shared" si="157"/>
        <v/>
      </c>
      <c r="X549" s="43" t="str">
        <f t="shared" si="146"/>
        <v/>
      </c>
      <c r="Y549" s="43" t="str">
        <f t="shared" si="151"/>
        <v/>
      </c>
    </row>
    <row r="550" spans="1:25" hidden="1">
      <c r="A550" s="155">
        <v>800000</v>
      </c>
      <c r="B550" s="156" t="s">
        <v>242</v>
      </c>
      <c r="C550" s="411" t="s">
        <v>641</v>
      </c>
      <c r="D550" s="351"/>
      <c r="E550" s="405"/>
      <c r="F550" s="406"/>
      <c r="G550" s="158">
        <v>0</v>
      </c>
      <c r="H550" s="465">
        <v>7.58</v>
      </c>
      <c r="I550" s="465">
        <f t="shared" ref="I550" si="165">IF(ISBLANK(H550),"",SUM(G550:H550))</f>
        <v>7.58</v>
      </c>
      <c r="J550" s="407">
        <f t="shared" si="158"/>
        <v>9.61</v>
      </c>
      <c r="K550" s="408" t="s">
        <v>18</v>
      </c>
      <c r="L550" s="152">
        <v>0</v>
      </c>
      <c r="M550" s="152"/>
      <c r="N550" s="402">
        <f t="shared" si="138"/>
        <v>0</v>
      </c>
      <c r="O550" s="402">
        <f t="shared" si="139"/>
        <v>0</v>
      </c>
      <c r="P550" s="403"/>
      <c r="Q550" s="152">
        <f t="shared" si="160"/>
        <v>0</v>
      </c>
      <c r="R550" s="152">
        <f t="shared" si="160"/>
        <v>0</v>
      </c>
      <c r="S550" s="402">
        <f t="shared" si="141"/>
        <v>0</v>
      </c>
      <c r="T550" s="404">
        <f t="shared" si="159"/>
        <v>0</v>
      </c>
      <c r="U550" s="403"/>
      <c r="W550" s="43" t="str">
        <f t="shared" si="157"/>
        <v/>
      </c>
      <c r="X550" s="43" t="str">
        <f t="shared" si="146"/>
        <v/>
      </c>
      <c r="Y550" s="43" t="str">
        <f t="shared" si="151"/>
        <v/>
      </c>
    </row>
    <row r="551" spans="1:25" hidden="1">
      <c r="A551" s="155" t="s">
        <v>416</v>
      </c>
      <c r="B551" s="156" t="s">
        <v>242</v>
      </c>
      <c r="C551" s="411" t="s">
        <v>395</v>
      </c>
      <c r="D551" s="351"/>
      <c r="E551" s="405"/>
      <c r="F551" s="406"/>
      <c r="G551" s="158"/>
      <c r="H551" s="465"/>
      <c r="I551" s="465" t="str">
        <f t="shared" si="163"/>
        <v/>
      </c>
      <c r="J551" s="407">
        <f t="shared" si="158"/>
        <v>0</v>
      </c>
      <c r="K551" s="408" t="s">
        <v>16</v>
      </c>
      <c r="L551" s="152">
        <v>0</v>
      </c>
      <c r="M551" s="152"/>
      <c r="N551" s="402">
        <f t="shared" si="138"/>
        <v>0</v>
      </c>
      <c r="O551" s="402">
        <f t="shared" si="139"/>
        <v>0</v>
      </c>
      <c r="P551" s="403"/>
      <c r="Q551" s="152">
        <f t="shared" si="160"/>
        <v>0</v>
      </c>
      <c r="R551" s="152">
        <f t="shared" si="160"/>
        <v>0</v>
      </c>
      <c r="S551" s="402">
        <f t="shared" si="141"/>
        <v>0</v>
      </c>
      <c r="T551" s="404">
        <f t="shared" si="159"/>
        <v>0</v>
      </c>
      <c r="U551" s="403"/>
      <c r="W551" s="43" t="str">
        <f t="shared" si="157"/>
        <v/>
      </c>
      <c r="X551" s="43" t="str">
        <f t="shared" si="146"/>
        <v/>
      </c>
      <c r="Y551" s="43" t="str">
        <f t="shared" si="151"/>
        <v/>
      </c>
    </row>
    <row r="552" spans="1:25" hidden="1">
      <c r="A552" s="155" t="s">
        <v>417</v>
      </c>
      <c r="B552" s="156" t="s">
        <v>242</v>
      </c>
      <c r="C552" s="411" t="s">
        <v>396</v>
      </c>
      <c r="D552" s="351"/>
      <c r="E552" s="405"/>
      <c r="F552" s="406"/>
      <c r="G552" s="158"/>
      <c r="H552" s="465">
        <v>286.63207673716011</v>
      </c>
      <c r="I552" s="465">
        <f t="shared" si="163"/>
        <v>286.63207673716011</v>
      </c>
      <c r="J552" s="407">
        <f t="shared" si="158"/>
        <v>363.45</v>
      </c>
      <c r="K552" s="408" t="s">
        <v>23</v>
      </c>
      <c r="L552" s="152">
        <v>0</v>
      </c>
      <c r="M552" s="152"/>
      <c r="N552" s="402">
        <f t="shared" si="138"/>
        <v>0</v>
      </c>
      <c r="O552" s="402">
        <f t="shared" si="139"/>
        <v>0</v>
      </c>
      <c r="P552" s="403"/>
      <c r="Q552" s="152">
        <f t="shared" si="160"/>
        <v>0</v>
      </c>
      <c r="R552" s="152">
        <f t="shared" si="160"/>
        <v>0</v>
      </c>
      <c r="S552" s="402">
        <f t="shared" si="141"/>
        <v>0</v>
      </c>
      <c r="T552" s="404">
        <f t="shared" si="159"/>
        <v>0</v>
      </c>
      <c r="U552" s="403"/>
      <c r="W552" s="43" t="str">
        <f t="shared" si="157"/>
        <v/>
      </c>
      <c r="X552" s="43" t="str">
        <f t="shared" si="146"/>
        <v/>
      </c>
      <c r="Y552" s="43" t="str">
        <f t="shared" si="151"/>
        <v/>
      </c>
    </row>
    <row r="553" spans="1:25" hidden="1">
      <c r="A553" s="155" t="s">
        <v>284</v>
      </c>
      <c r="B553" s="156" t="s">
        <v>242</v>
      </c>
      <c r="C553" s="411" t="s">
        <v>397</v>
      </c>
      <c r="D553" s="351"/>
      <c r="E553" s="405"/>
      <c r="F553" s="406"/>
      <c r="G553" s="158"/>
      <c r="H553" s="465">
        <v>273.50557673716008</v>
      </c>
      <c r="I553" s="465">
        <f t="shared" si="163"/>
        <v>273.50557673716008</v>
      </c>
      <c r="J553" s="407">
        <f t="shared" si="158"/>
        <v>346.81</v>
      </c>
      <c r="K553" s="408" t="s">
        <v>23</v>
      </c>
      <c r="L553" s="152">
        <v>0</v>
      </c>
      <c r="M553" s="152"/>
      <c r="N553" s="402">
        <f t="shared" si="138"/>
        <v>0</v>
      </c>
      <c r="O553" s="402">
        <f t="shared" si="139"/>
        <v>0</v>
      </c>
      <c r="P553" s="403"/>
      <c r="Q553" s="152">
        <f t="shared" si="160"/>
        <v>0</v>
      </c>
      <c r="R553" s="152">
        <f t="shared" si="160"/>
        <v>0</v>
      </c>
      <c r="S553" s="402">
        <f t="shared" si="141"/>
        <v>0</v>
      </c>
      <c r="T553" s="404">
        <f t="shared" si="159"/>
        <v>0</v>
      </c>
      <c r="U553" s="403"/>
      <c r="W553" s="43" t="str">
        <f t="shared" si="157"/>
        <v/>
      </c>
      <c r="X553" s="43" t="str">
        <f t="shared" si="146"/>
        <v/>
      </c>
      <c r="Y553" s="43" t="str">
        <f t="shared" si="151"/>
        <v/>
      </c>
    </row>
    <row r="554" spans="1:25" hidden="1">
      <c r="A554" s="155" t="s">
        <v>418</v>
      </c>
      <c r="B554" s="156" t="s">
        <v>242</v>
      </c>
      <c r="C554" s="411" t="s">
        <v>398</v>
      </c>
      <c r="D554" s="351"/>
      <c r="E554" s="405"/>
      <c r="F554" s="406"/>
      <c r="G554" s="158"/>
      <c r="H554" s="465">
        <v>273.55507673716011</v>
      </c>
      <c r="I554" s="465">
        <f t="shared" si="163"/>
        <v>273.55507673716011</v>
      </c>
      <c r="J554" s="407">
        <f t="shared" si="158"/>
        <v>346.87</v>
      </c>
      <c r="K554" s="408" t="s">
        <v>23</v>
      </c>
      <c r="L554" s="152">
        <v>0</v>
      </c>
      <c r="M554" s="152"/>
      <c r="N554" s="402">
        <f t="shared" si="138"/>
        <v>0</v>
      </c>
      <c r="O554" s="402">
        <f t="shared" si="139"/>
        <v>0</v>
      </c>
      <c r="P554" s="403"/>
      <c r="Q554" s="152">
        <f t="shared" si="160"/>
        <v>0</v>
      </c>
      <c r="R554" s="152">
        <f t="shared" si="160"/>
        <v>0</v>
      </c>
      <c r="S554" s="402">
        <f t="shared" si="141"/>
        <v>0</v>
      </c>
      <c r="T554" s="404">
        <f t="shared" si="159"/>
        <v>0</v>
      </c>
      <c r="U554" s="403"/>
      <c r="W554" s="43" t="str">
        <f t="shared" si="157"/>
        <v/>
      </c>
      <c r="X554" s="43" t="str">
        <f t="shared" si="146"/>
        <v/>
      </c>
      <c r="Y554" s="43" t="str">
        <f t="shared" si="151"/>
        <v/>
      </c>
    </row>
    <row r="555" spans="1:25" hidden="1">
      <c r="A555" s="155" t="s">
        <v>419</v>
      </c>
      <c r="B555" s="156" t="s">
        <v>242</v>
      </c>
      <c r="C555" s="411" t="s">
        <v>399</v>
      </c>
      <c r="D555" s="351"/>
      <c r="E555" s="405"/>
      <c r="F555" s="406"/>
      <c r="G555" s="158"/>
      <c r="H555" s="465">
        <v>381.95245549848943</v>
      </c>
      <c r="I555" s="465">
        <f t="shared" si="163"/>
        <v>381.95245549848943</v>
      </c>
      <c r="J555" s="407">
        <f t="shared" si="158"/>
        <v>484.32</v>
      </c>
      <c r="K555" s="408" t="s">
        <v>23</v>
      </c>
      <c r="L555" s="152">
        <v>0</v>
      </c>
      <c r="M555" s="152"/>
      <c r="N555" s="402">
        <f t="shared" si="138"/>
        <v>0</v>
      </c>
      <c r="O555" s="402">
        <f t="shared" si="139"/>
        <v>0</v>
      </c>
      <c r="P555" s="403"/>
      <c r="Q555" s="152">
        <f t="shared" si="160"/>
        <v>0</v>
      </c>
      <c r="R555" s="152">
        <f t="shared" si="160"/>
        <v>0</v>
      </c>
      <c r="S555" s="402">
        <f t="shared" si="141"/>
        <v>0</v>
      </c>
      <c r="T555" s="404">
        <f t="shared" si="159"/>
        <v>0</v>
      </c>
      <c r="U555" s="403"/>
      <c r="W555" s="43" t="str">
        <f t="shared" si="157"/>
        <v/>
      </c>
      <c r="X555" s="43" t="str">
        <f t="shared" si="146"/>
        <v/>
      </c>
      <c r="Y555" s="43" t="str">
        <f t="shared" si="151"/>
        <v/>
      </c>
    </row>
    <row r="556" spans="1:25" ht="13.5" thickBot="1">
      <c r="A556" s="155" t="s">
        <v>420</v>
      </c>
      <c r="B556" s="156" t="s">
        <v>242</v>
      </c>
      <c r="C556" s="411" t="s">
        <v>400</v>
      </c>
      <c r="D556" s="351"/>
      <c r="E556" s="405"/>
      <c r="F556" s="406"/>
      <c r="G556" s="158"/>
      <c r="H556" s="465">
        <v>315.81824392749246</v>
      </c>
      <c r="I556" s="465">
        <f t="shared" si="163"/>
        <v>315.81824392749246</v>
      </c>
      <c r="J556" s="407">
        <f t="shared" si="158"/>
        <v>400.46</v>
      </c>
      <c r="K556" s="408" t="s">
        <v>23</v>
      </c>
      <c r="L556" s="152">
        <v>6</v>
      </c>
      <c r="M556" s="152">
        <f>J556</f>
        <v>400.46</v>
      </c>
      <c r="N556" s="402">
        <f t="shared" si="138"/>
        <v>2402.7600000000002</v>
      </c>
      <c r="O556" s="402">
        <f t="shared" si="139"/>
        <v>2402.7600000000002</v>
      </c>
      <c r="P556" s="403"/>
      <c r="Q556" s="152">
        <f t="shared" si="160"/>
        <v>6</v>
      </c>
      <c r="R556" s="152">
        <f t="shared" si="160"/>
        <v>400.46</v>
      </c>
      <c r="S556" s="402">
        <f t="shared" si="141"/>
        <v>2402.7600000000002</v>
      </c>
      <c r="T556" s="404">
        <f t="shared" si="159"/>
        <v>2402.7600000000002</v>
      </c>
      <c r="U556" s="403"/>
      <c r="V556" s="160" t="s">
        <v>200</v>
      </c>
      <c r="W556" s="43" t="str">
        <f t="shared" si="157"/>
        <v>x</v>
      </c>
      <c r="X556" s="43" t="str">
        <f t="shared" si="146"/>
        <v>x</v>
      </c>
      <c r="Y556" s="43" t="str">
        <f t="shared" si="151"/>
        <v>x</v>
      </c>
    </row>
    <row r="557" spans="1:25" ht="13.5" hidden="1" thickBot="1">
      <c r="A557" s="400" t="s">
        <v>217</v>
      </c>
      <c r="B557" s="206"/>
      <c r="C557" s="344" t="s">
        <v>283</v>
      </c>
      <c r="D557" s="185"/>
      <c r="E557" s="207"/>
      <c r="F557" s="208"/>
      <c r="G557" s="209"/>
      <c r="H557" s="210"/>
      <c r="I557" s="210"/>
      <c r="J557" s="210"/>
      <c r="K557" s="210" t="s">
        <v>1029</v>
      </c>
      <c r="L557" s="152">
        <v>0</v>
      </c>
      <c r="M557" s="210"/>
      <c r="N557" s="210"/>
      <c r="O557" s="211"/>
      <c r="P557" s="403"/>
      <c r="Q557" s="209"/>
      <c r="R557" s="210"/>
      <c r="S557" s="210"/>
      <c r="T557" s="211"/>
      <c r="U557" s="403"/>
      <c r="V557" s="144" t="str">
        <f>IF(OR(SUM(O558:O589)&gt;0,SUM(T558:T589)&gt;0),"y","")</f>
        <v/>
      </c>
      <c r="W557" s="43" t="str">
        <f t="shared" si="157"/>
        <v/>
      </c>
      <c r="X557" s="43" t="str">
        <f t="shared" si="146"/>
        <v/>
      </c>
      <c r="Y557" s="43" t="str">
        <f t="shared" si="151"/>
        <v/>
      </c>
    </row>
    <row r="558" spans="1:25" ht="13.5" hidden="1" thickBot="1">
      <c r="A558" s="397" t="s">
        <v>217</v>
      </c>
      <c r="B558" s="165" t="s">
        <v>217</v>
      </c>
      <c r="C558" s="203"/>
      <c r="D558" s="167"/>
      <c r="E558" s="168"/>
      <c r="F558" s="169"/>
      <c r="G558" s="170"/>
      <c r="H558" s="171"/>
      <c r="I558" s="452"/>
      <c r="J558" s="453">
        <f t="shared" ref="J558:J589" si="166">IF(ISBLANK(I558),0,ROUND(I558*(1+$E$10)*(1+$E$11*D558),2))</f>
        <v>0</v>
      </c>
      <c r="K558" s="392" t="s">
        <v>1029</v>
      </c>
      <c r="L558" s="152">
        <v>0</v>
      </c>
      <c r="M558" s="204"/>
      <c r="N558" s="402">
        <f t="shared" ref="N558" si="167">IF(ISBLANK(L558),0,ROUND(J558*L558,2))</f>
        <v>0</v>
      </c>
      <c r="O558" s="404">
        <f t="shared" ref="O558:O589" si="168">IF(ISBLANK(M558),0,ROUND(L558*M558,2))</f>
        <v>0</v>
      </c>
      <c r="P558" s="403"/>
      <c r="Q558" s="205">
        <f t="shared" ref="Q558:R589" si="169">L558</f>
        <v>0</v>
      </c>
      <c r="R558" s="204">
        <f t="shared" si="169"/>
        <v>0</v>
      </c>
      <c r="S558" s="402">
        <f t="shared" ref="S558:S589" si="170">IF(ISBLANK(Q558),0,ROUND(J558*Q558,2))</f>
        <v>0</v>
      </c>
      <c r="T558" s="404">
        <f t="shared" ref="T558:T589" si="171">IF(ISBLANK(Q558),0,ROUND(Q558*R558,2))</f>
        <v>0</v>
      </c>
      <c r="U558" s="403"/>
      <c r="W558" s="43" t="str">
        <f t="shared" si="157"/>
        <v/>
      </c>
      <c r="X558" s="43" t="str">
        <f t="shared" si="146"/>
        <v/>
      </c>
      <c r="Y558" s="43" t="str">
        <f t="shared" si="151"/>
        <v/>
      </c>
    </row>
    <row r="559" spans="1:25" ht="13.5" hidden="1" thickBot="1">
      <c r="A559" s="397" t="s">
        <v>217</v>
      </c>
      <c r="B559" s="165" t="s">
        <v>217</v>
      </c>
      <c r="C559" s="166"/>
      <c r="D559" s="167"/>
      <c r="E559" s="168"/>
      <c r="F559" s="169"/>
      <c r="G559" s="170"/>
      <c r="H559" s="171"/>
      <c r="I559" s="452"/>
      <c r="J559" s="454">
        <f t="shared" si="166"/>
        <v>0</v>
      </c>
      <c r="K559" s="392" t="s">
        <v>1029</v>
      </c>
      <c r="L559" s="152">
        <v>0</v>
      </c>
      <c r="M559" s="152"/>
      <c r="N559" s="402">
        <f>IF(ISBLANK(L559),0,ROUND(J559*L559,2))</f>
        <v>0</v>
      </c>
      <c r="O559" s="402">
        <f t="shared" si="168"/>
        <v>0</v>
      </c>
      <c r="P559" s="403"/>
      <c r="Q559" s="152">
        <f t="shared" si="169"/>
        <v>0</v>
      </c>
      <c r="R559" s="152">
        <f t="shared" si="169"/>
        <v>0</v>
      </c>
      <c r="S559" s="402">
        <f t="shared" si="170"/>
        <v>0</v>
      </c>
      <c r="T559" s="164">
        <f t="shared" si="171"/>
        <v>0</v>
      </c>
      <c r="U559" s="403"/>
      <c r="W559" s="43" t="str">
        <f t="shared" ref="W559:W622" si="172">IF(V559="X","x",IF(V559="xx","x",IF(V559="xy","x",IF(V559="y","x",IF(OR(O559&gt;0,T559&gt;0),"x","")))))</f>
        <v/>
      </c>
      <c r="X559" s="43" t="str">
        <f t="shared" si="146"/>
        <v/>
      </c>
      <c r="Y559" s="43" t="str">
        <f t="shared" si="151"/>
        <v/>
      </c>
    </row>
    <row r="560" spans="1:25" ht="13.5" hidden="1" thickBot="1">
      <c r="A560" s="397" t="s">
        <v>217</v>
      </c>
      <c r="B560" s="165" t="s">
        <v>217</v>
      </c>
      <c r="C560" s="166"/>
      <c r="D560" s="167"/>
      <c r="E560" s="168"/>
      <c r="F560" s="169"/>
      <c r="G560" s="170"/>
      <c r="H560" s="171"/>
      <c r="I560" s="452"/>
      <c r="J560" s="454">
        <f t="shared" si="166"/>
        <v>0</v>
      </c>
      <c r="K560" s="392" t="s">
        <v>1029</v>
      </c>
      <c r="L560" s="152">
        <v>0</v>
      </c>
      <c r="M560" s="152"/>
      <c r="N560" s="402">
        <f t="shared" ref="N560:N589" si="173">IF(ISBLANK(L560),0,ROUND(J560*L560,2))</f>
        <v>0</v>
      </c>
      <c r="O560" s="402">
        <f t="shared" si="168"/>
        <v>0</v>
      </c>
      <c r="P560" s="403"/>
      <c r="Q560" s="152">
        <f t="shared" si="169"/>
        <v>0</v>
      </c>
      <c r="R560" s="152">
        <f t="shared" si="169"/>
        <v>0</v>
      </c>
      <c r="S560" s="402">
        <f t="shared" si="170"/>
        <v>0</v>
      </c>
      <c r="T560" s="404">
        <f t="shared" si="171"/>
        <v>0</v>
      </c>
      <c r="U560" s="403"/>
      <c r="W560" s="43" t="str">
        <f t="shared" si="172"/>
        <v/>
      </c>
      <c r="X560" s="43" t="str">
        <f t="shared" si="146"/>
        <v/>
      </c>
      <c r="Y560" s="43" t="str">
        <f t="shared" si="151"/>
        <v/>
      </c>
    </row>
    <row r="561" spans="1:25" ht="13.5" hidden="1" thickBot="1">
      <c r="A561" s="397" t="s">
        <v>217</v>
      </c>
      <c r="B561" s="165" t="s">
        <v>217</v>
      </c>
      <c r="C561" s="166"/>
      <c r="D561" s="167"/>
      <c r="E561" s="168"/>
      <c r="F561" s="169"/>
      <c r="G561" s="170"/>
      <c r="H561" s="171"/>
      <c r="I561" s="452"/>
      <c r="J561" s="454">
        <f t="shared" si="166"/>
        <v>0</v>
      </c>
      <c r="K561" s="392" t="s">
        <v>1029</v>
      </c>
      <c r="L561" s="152">
        <v>0</v>
      </c>
      <c r="M561" s="152"/>
      <c r="N561" s="402">
        <f t="shared" si="173"/>
        <v>0</v>
      </c>
      <c r="O561" s="402">
        <f t="shared" si="168"/>
        <v>0</v>
      </c>
      <c r="P561" s="403"/>
      <c r="Q561" s="152">
        <f t="shared" si="169"/>
        <v>0</v>
      </c>
      <c r="R561" s="152">
        <f t="shared" si="169"/>
        <v>0</v>
      </c>
      <c r="S561" s="402">
        <f t="shared" si="170"/>
        <v>0</v>
      </c>
      <c r="T561" s="404">
        <f t="shared" si="171"/>
        <v>0</v>
      </c>
      <c r="U561" s="403"/>
      <c r="W561" s="43" t="str">
        <f t="shared" si="172"/>
        <v/>
      </c>
      <c r="X561" s="43" t="str">
        <f t="shared" si="146"/>
        <v/>
      </c>
      <c r="Y561" s="43" t="str">
        <f t="shared" si="151"/>
        <v/>
      </c>
    </row>
    <row r="562" spans="1:25" ht="13.5" hidden="1" thickBot="1">
      <c r="A562" s="397" t="s">
        <v>217</v>
      </c>
      <c r="B562" s="165" t="s">
        <v>217</v>
      </c>
      <c r="C562" s="166"/>
      <c r="D562" s="167"/>
      <c r="E562" s="168"/>
      <c r="F562" s="169"/>
      <c r="G562" s="170"/>
      <c r="H562" s="171"/>
      <c r="I562" s="452"/>
      <c r="J562" s="454">
        <f t="shared" si="166"/>
        <v>0</v>
      </c>
      <c r="K562" s="392" t="s">
        <v>1029</v>
      </c>
      <c r="L562" s="152">
        <v>0</v>
      </c>
      <c r="M562" s="152"/>
      <c r="N562" s="402">
        <f t="shared" si="173"/>
        <v>0</v>
      </c>
      <c r="O562" s="402">
        <f t="shared" si="168"/>
        <v>0</v>
      </c>
      <c r="P562" s="403"/>
      <c r="Q562" s="152">
        <f t="shared" si="169"/>
        <v>0</v>
      </c>
      <c r="R562" s="152">
        <f t="shared" si="169"/>
        <v>0</v>
      </c>
      <c r="S562" s="402">
        <f t="shared" si="170"/>
        <v>0</v>
      </c>
      <c r="T562" s="404">
        <f t="shared" si="171"/>
        <v>0</v>
      </c>
      <c r="U562" s="403"/>
      <c r="W562" s="43" t="str">
        <f t="shared" si="172"/>
        <v/>
      </c>
      <c r="X562" s="43" t="str">
        <f t="shared" si="146"/>
        <v/>
      </c>
      <c r="Y562" s="43" t="str">
        <f t="shared" si="151"/>
        <v/>
      </c>
    </row>
    <row r="563" spans="1:25" ht="13.5" hidden="1" thickBot="1">
      <c r="A563" s="397" t="s">
        <v>217</v>
      </c>
      <c r="B563" s="165" t="s">
        <v>217</v>
      </c>
      <c r="C563" s="166"/>
      <c r="D563" s="167"/>
      <c r="E563" s="168"/>
      <c r="F563" s="169"/>
      <c r="G563" s="170"/>
      <c r="H563" s="171"/>
      <c r="I563" s="452"/>
      <c r="J563" s="454">
        <f t="shared" si="166"/>
        <v>0</v>
      </c>
      <c r="K563" s="392" t="s">
        <v>1029</v>
      </c>
      <c r="L563" s="152">
        <v>0</v>
      </c>
      <c r="M563" s="152"/>
      <c r="N563" s="402">
        <f t="shared" si="173"/>
        <v>0</v>
      </c>
      <c r="O563" s="402">
        <f t="shared" si="168"/>
        <v>0</v>
      </c>
      <c r="P563" s="403"/>
      <c r="Q563" s="152">
        <f t="shared" si="169"/>
        <v>0</v>
      </c>
      <c r="R563" s="152">
        <f t="shared" si="169"/>
        <v>0</v>
      </c>
      <c r="S563" s="402">
        <f t="shared" si="170"/>
        <v>0</v>
      </c>
      <c r="T563" s="404">
        <f t="shared" si="171"/>
        <v>0</v>
      </c>
      <c r="U563" s="403"/>
      <c r="W563" s="43" t="str">
        <f t="shared" si="172"/>
        <v/>
      </c>
      <c r="X563" s="43" t="str">
        <f t="shared" si="146"/>
        <v/>
      </c>
      <c r="Y563" s="43" t="str">
        <f t="shared" si="151"/>
        <v/>
      </c>
    </row>
    <row r="564" spans="1:25" ht="13.5" hidden="1" thickBot="1">
      <c r="A564" s="397" t="s">
        <v>217</v>
      </c>
      <c r="B564" s="165" t="s">
        <v>217</v>
      </c>
      <c r="C564" s="166"/>
      <c r="D564" s="167"/>
      <c r="E564" s="168"/>
      <c r="F564" s="169"/>
      <c r="G564" s="170"/>
      <c r="H564" s="171"/>
      <c r="I564" s="452"/>
      <c r="J564" s="454">
        <f t="shared" si="166"/>
        <v>0</v>
      </c>
      <c r="K564" s="392" t="s">
        <v>1029</v>
      </c>
      <c r="L564" s="152">
        <v>0</v>
      </c>
      <c r="M564" s="152"/>
      <c r="N564" s="402">
        <f t="shared" si="173"/>
        <v>0</v>
      </c>
      <c r="O564" s="402">
        <f t="shared" si="168"/>
        <v>0</v>
      </c>
      <c r="P564" s="403"/>
      <c r="Q564" s="152">
        <f t="shared" si="169"/>
        <v>0</v>
      </c>
      <c r="R564" s="152">
        <f t="shared" si="169"/>
        <v>0</v>
      </c>
      <c r="S564" s="402">
        <f t="shared" si="170"/>
        <v>0</v>
      </c>
      <c r="T564" s="404">
        <f t="shared" si="171"/>
        <v>0</v>
      </c>
      <c r="U564" s="403"/>
      <c r="W564" s="43" t="str">
        <f t="shared" si="172"/>
        <v/>
      </c>
      <c r="X564" s="43" t="str">
        <f t="shared" si="146"/>
        <v/>
      </c>
      <c r="Y564" s="43" t="str">
        <f t="shared" si="151"/>
        <v/>
      </c>
    </row>
    <row r="565" spans="1:25" ht="13.5" hidden="1" thickBot="1">
      <c r="A565" s="397" t="s">
        <v>217</v>
      </c>
      <c r="B565" s="165" t="s">
        <v>217</v>
      </c>
      <c r="C565" s="166"/>
      <c r="D565" s="167"/>
      <c r="E565" s="168"/>
      <c r="F565" s="169"/>
      <c r="G565" s="170"/>
      <c r="H565" s="171"/>
      <c r="I565" s="452"/>
      <c r="J565" s="454">
        <f t="shared" si="166"/>
        <v>0</v>
      </c>
      <c r="K565" s="392" t="s">
        <v>1029</v>
      </c>
      <c r="L565" s="152">
        <v>0</v>
      </c>
      <c r="M565" s="152"/>
      <c r="N565" s="402">
        <f t="shared" si="173"/>
        <v>0</v>
      </c>
      <c r="O565" s="402">
        <f t="shared" si="168"/>
        <v>0</v>
      </c>
      <c r="P565" s="403"/>
      <c r="Q565" s="152">
        <f t="shared" si="169"/>
        <v>0</v>
      </c>
      <c r="R565" s="152">
        <f t="shared" si="169"/>
        <v>0</v>
      </c>
      <c r="S565" s="402">
        <f t="shared" si="170"/>
        <v>0</v>
      </c>
      <c r="T565" s="404">
        <f t="shared" si="171"/>
        <v>0</v>
      </c>
      <c r="U565" s="403"/>
      <c r="W565" s="43" t="str">
        <f t="shared" si="172"/>
        <v/>
      </c>
      <c r="X565" s="43" t="str">
        <f t="shared" si="146"/>
        <v/>
      </c>
      <c r="Y565" s="43" t="str">
        <f t="shared" si="151"/>
        <v/>
      </c>
    </row>
    <row r="566" spans="1:25" ht="13.5" hidden="1" thickBot="1">
      <c r="A566" s="397" t="s">
        <v>217</v>
      </c>
      <c r="B566" s="165" t="s">
        <v>217</v>
      </c>
      <c r="C566" s="166"/>
      <c r="D566" s="167"/>
      <c r="E566" s="168"/>
      <c r="F566" s="169"/>
      <c r="G566" s="170"/>
      <c r="H566" s="171"/>
      <c r="I566" s="452"/>
      <c r="J566" s="454">
        <f t="shared" si="166"/>
        <v>0</v>
      </c>
      <c r="K566" s="392" t="s">
        <v>1029</v>
      </c>
      <c r="L566" s="152">
        <v>0</v>
      </c>
      <c r="M566" s="152"/>
      <c r="N566" s="402">
        <f t="shared" si="173"/>
        <v>0</v>
      </c>
      <c r="O566" s="402">
        <f t="shared" si="168"/>
        <v>0</v>
      </c>
      <c r="P566" s="403"/>
      <c r="Q566" s="152">
        <f t="shared" si="169"/>
        <v>0</v>
      </c>
      <c r="R566" s="152">
        <f t="shared" si="169"/>
        <v>0</v>
      </c>
      <c r="S566" s="402">
        <f t="shared" si="170"/>
        <v>0</v>
      </c>
      <c r="T566" s="404">
        <f t="shared" si="171"/>
        <v>0</v>
      </c>
      <c r="U566" s="403"/>
      <c r="W566" s="43" t="str">
        <f t="shared" si="172"/>
        <v/>
      </c>
      <c r="X566" s="43" t="str">
        <f t="shared" si="146"/>
        <v/>
      </c>
      <c r="Y566" s="43" t="str">
        <f t="shared" si="151"/>
        <v/>
      </c>
    </row>
    <row r="567" spans="1:25" ht="13.5" hidden="1" thickBot="1">
      <c r="A567" s="397" t="s">
        <v>217</v>
      </c>
      <c r="B567" s="165" t="s">
        <v>217</v>
      </c>
      <c r="C567" s="166"/>
      <c r="D567" s="167"/>
      <c r="E567" s="168"/>
      <c r="F567" s="169"/>
      <c r="G567" s="170"/>
      <c r="H567" s="171"/>
      <c r="I567" s="452"/>
      <c r="J567" s="454">
        <f t="shared" si="166"/>
        <v>0</v>
      </c>
      <c r="K567" s="392" t="s">
        <v>1029</v>
      </c>
      <c r="L567" s="152">
        <v>0</v>
      </c>
      <c r="M567" s="152"/>
      <c r="N567" s="402">
        <f t="shared" si="173"/>
        <v>0</v>
      </c>
      <c r="O567" s="402">
        <f t="shared" si="168"/>
        <v>0</v>
      </c>
      <c r="P567" s="403"/>
      <c r="Q567" s="152">
        <f t="shared" si="169"/>
        <v>0</v>
      </c>
      <c r="R567" s="152">
        <f t="shared" si="169"/>
        <v>0</v>
      </c>
      <c r="S567" s="402">
        <f t="shared" si="170"/>
        <v>0</v>
      </c>
      <c r="T567" s="404">
        <f t="shared" si="171"/>
        <v>0</v>
      </c>
      <c r="U567" s="403"/>
      <c r="W567" s="43" t="str">
        <f t="shared" si="172"/>
        <v/>
      </c>
      <c r="X567" s="43" t="str">
        <f t="shared" si="146"/>
        <v/>
      </c>
      <c r="Y567" s="43" t="str">
        <f t="shared" si="151"/>
        <v/>
      </c>
    </row>
    <row r="568" spans="1:25" ht="13.5" hidden="1" thickBot="1">
      <c r="A568" s="397" t="s">
        <v>217</v>
      </c>
      <c r="B568" s="165" t="s">
        <v>217</v>
      </c>
      <c r="C568" s="166"/>
      <c r="D568" s="167"/>
      <c r="E568" s="168"/>
      <c r="F568" s="169"/>
      <c r="G568" s="170"/>
      <c r="H568" s="171"/>
      <c r="I568" s="452"/>
      <c r="J568" s="454">
        <f t="shared" si="166"/>
        <v>0</v>
      </c>
      <c r="K568" s="392" t="s">
        <v>1029</v>
      </c>
      <c r="L568" s="152">
        <v>0</v>
      </c>
      <c r="M568" s="152"/>
      <c r="N568" s="402">
        <f t="shared" si="173"/>
        <v>0</v>
      </c>
      <c r="O568" s="402">
        <f t="shared" si="168"/>
        <v>0</v>
      </c>
      <c r="P568" s="403"/>
      <c r="Q568" s="152">
        <f t="shared" si="169"/>
        <v>0</v>
      </c>
      <c r="R568" s="152">
        <f t="shared" si="169"/>
        <v>0</v>
      </c>
      <c r="S568" s="402">
        <f t="shared" si="170"/>
        <v>0</v>
      </c>
      <c r="T568" s="404">
        <f t="shared" si="171"/>
        <v>0</v>
      </c>
      <c r="U568" s="403"/>
      <c r="W568" s="43" t="str">
        <f t="shared" si="172"/>
        <v/>
      </c>
      <c r="X568" s="43" t="str">
        <f t="shared" si="146"/>
        <v/>
      </c>
      <c r="Y568" s="43" t="str">
        <f t="shared" si="151"/>
        <v/>
      </c>
    </row>
    <row r="569" spans="1:25" ht="13.5" hidden="1" thickBot="1">
      <c r="A569" s="397" t="s">
        <v>217</v>
      </c>
      <c r="B569" s="165" t="s">
        <v>217</v>
      </c>
      <c r="C569" s="166"/>
      <c r="D569" s="167"/>
      <c r="E569" s="168"/>
      <c r="F569" s="169"/>
      <c r="G569" s="170"/>
      <c r="H569" s="171"/>
      <c r="I569" s="452"/>
      <c r="J569" s="454">
        <f t="shared" si="166"/>
        <v>0</v>
      </c>
      <c r="K569" s="392" t="s">
        <v>1029</v>
      </c>
      <c r="L569" s="152">
        <v>0</v>
      </c>
      <c r="M569" s="152"/>
      <c r="N569" s="402">
        <f t="shared" si="173"/>
        <v>0</v>
      </c>
      <c r="O569" s="402">
        <f t="shared" si="168"/>
        <v>0</v>
      </c>
      <c r="P569" s="403"/>
      <c r="Q569" s="152">
        <f t="shared" si="169"/>
        <v>0</v>
      </c>
      <c r="R569" s="152">
        <f t="shared" si="169"/>
        <v>0</v>
      </c>
      <c r="S569" s="402">
        <f t="shared" si="170"/>
        <v>0</v>
      </c>
      <c r="T569" s="404">
        <f t="shared" si="171"/>
        <v>0</v>
      </c>
      <c r="U569" s="403"/>
      <c r="W569" s="43" t="str">
        <f t="shared" si="172"/>
        <v/>
      </c>
      <c r="X569" s="43" t="str">
        <f t="shared" si="146"/>
        <v/>
      </c>
      <c r="Y569" s="43" t="str">
        <f t="shared" si="151"/>
        <v/>
      </c>
    </row>
    <row r="570" spans="1:25" ht="13.5" hidden="1" thickBot="1">
      <c r="A570" s="397" t="s">
        <v>217</v>
      </c>
      <c r="B570" s="165" t="s">
        <v>217</v>
      </c>
      <c r="C570" s="166"/>
      <c r="D570" s="167"/>
      <c r="E570" s="168"/>
      <c r="F570" s="169"/>
      <c r="G570" s="170"/>
      <c r="H570" s="171"/>
      <c r="I570" s="452"/>
      <c r="J570" s="454">
        <f t="shared" si="166"/>
        <v>0</v>
      </c>
      <c r="K570" s="392" t="s">
        <v>1029</v>
      </c>
      <c r="L570" s="152">
        <v>0</v>
      </c>
      <c r="M570" s="152"/>
      <c r="N570" s="402">
        <f t="shared" si="173"/>
        <v>0</v>
      </c>
      <c r="O570" s="402">
        <f t="shared" si="168"/>
        <v>0</v>
      </c>
      <c r="P570" s="403"/>
      <c r="Q570" s="152">
        <f t="shared" si="169"/>
        <v>0</v>
      </c>
      <c r="R570" s="152">
        <f t="shared" si="169"/>
        <v>0</v>
      </c>
      <c r="S570" s="402">
        <f t="shared" si="170"/>
        <v>0</v>
      </c>
      <c r="T570" s="404">
        <f t="shared" si="171"/>
        <v>0</v>
      </c>
      <c r="U570" s="403"/>
      <c r="W570" s="43" t="str">
        <f t="shared" si="172"/>
        <v/>
      </c>
      <c r="X570" s="43" t="str">
        <f t="shared" si="146"/>
        <v/>
      </c>
      <c r="Y570" s="43" t="str">
        <f t="shared" si="151"/>
        <v/>
      </c>
    </row>
    <row r="571" spans="1:25" ht="13.5" hidden="1" thickBot="1">
      <c r="A571" s="397" t="s">
        <v>217</v>
      </c>
      <c r="B571" s="165" t="s">
        <v>217</v>
      </c>
      <c r="C571" s="166"/>
      <c r="D571" s="167"/>
      <c r="E571" s="168"/>
      <c r="F571" s="169"/>
      <c r="G571" s="170"/>
      <c r="H571" s="171"/>
      <c r="I571" s="452"/>
      <c r="J571" s="454">
        <f t="shared" si="166"/>
        <v>0</v>
      </c>
      <c r="K571" s="392" t="s">
        <v>1029</v>
      </c>
      <c r="L571" s="152">
        <v>0</v>
      </c>
      <c r="M571" s="152"/>
      <c r="N571" s="402">
        <f t="shared" si="173"/>
        <v>0</v>
      </c>
      <c r="O571" s="402">
        <f t="shared" si="168"/>
        <v>0</v>
      </c>
      <c r="P571" s="403"/>
      <c r="Q571" s="152">
        <f t="shared" si="169"/>
        <v>0</v>
      </c>
      <c r="R571" s="152">
        <f t="shared" si="169"/>
        <v>0</v>
      </c>
      <c r="S571" s="402">
        <f t="shared" si="170"/>
        <v>0</v>
      </c>
      <c r="T571" s="404">
        <f t="shared" si="171"/>
        <v>0</v>
      </c>
      <c r="U571" s="403"/>
      <c r="W571" s="43" t="str">
        <f t="shared" si="172"/>
        <v/>
      </c>
      <c r="X571" s="43" t="str">
        <f t="shared" si="146"/>
        <v/>
      </c>
      <c r="Y571" s="43" t="str">
        <f t="shared" si="151"/>
        <v/>
      </c>
    </row>
    <row r="572" spans="1:25" ht="13.5" hidden="1" thickBot="1">
      <c r="A572" s="397" t="s">
        <v>217</v>
      </c>
      <c r="B572" s="165" t="s">
        <v>217</v>
      </c>
      <c r="C572" s="166"/>
      <c r="D572" s="167"/>
      <c r="E572" s="168"/>
      <c r="F572" s="169"/>
      <c r="G572" s="170"/>
      <c r="H572" s="171"/>
      <c r="I572" s="452"/>
      <c r="J572" s="454">
        <f t="shared" si="166"/>
        <v>0</v>
      </c>
      <c r="K572" s="392" t="s">
        <v>1029</v>
      </c>
      <c r="L572" s="152">
        <v>0</v>
      </c>
      <c r="M572" s="152"/>
      <c r="N572" s="402">
        <f t="shared" si="173"/>
        <v>0</v>
      </c>
      <c r="O572" s="402">
        <f t="shared" si="168"/>
        <v>0</v>
      </c>
      <c r="P572" s="403"/>
      <c r="Q572" s="152">
        <f t="shared" si="169"/>
        <v>0</v>
      </c>
      <c r="R572" s="152">
        <f t="shared" si="169"/>
        <v>0</v>
      </c>
      <c r="S572" s="402">
        <f t="shared" si="170"/>
        <v>0</v>
      </c>
      <c r="T572" s="404">
        <f t="shared" si="171"/>
        <v>0</v>
      </c>
      <c r="U572" s="403"/>
      <c r="W572" s="43" t="str">
        <f t="shared" si="172"/>
        <v/>
      </c>
      <c r="X572" s="43" t="str">
        <f t="shared" si="146"/>
        <v/>
      </c>
      <c r="Y572" s="43" t="str">
        <f t="shared" si="151"/>
        <v/>
      </c>
    </row>
    <row r="573" spans="1:25" ht="13.5" hidden="1" thickBot="1">
      <c r="A573" s="397" t="s">
        <v>217</v>
      </c>
      <c r="B573" s="165" t="s">
        <v>217</v>
      </c>
      <c r="C573" s="166"/>
      <c r="D573" s="167"/>
      <c r="E573" s="168"/>
      <c r="F573" s="169"/>
      <c r="G573" s="170"/>
      <c r="H573" s="171"/>
      <c r="I573" s="452"/>
      <c r="J573" s="454">
        <f t="shared" si="166"/>
        <v>0</v>
      </c>
      <c r="K573" s="392" t="s">
        <v>1029</v>
      </c>
      <c r="L573" s="152">
        <v>0</v>
      </c>
      <c r="M573" s="152"/>
      <c r="N573" s="402">
        <f t="shared" si="173"/>
        <v>0</v>
      </c>
      <c r="O573" s="402">
        <f t="shared" si="168"/>
        <v>0</v>
      </c>
      <c r="P573" s="403"/>
      <c r="Q573" s="152">
        <f t="shared" si="169"/>
        <v>0</v>
      </c>
      <c r="R573" s="152">
        <f t="shared" si="169"/>
        <v>0</v>
      </c>
      <c r="S573" s="402">
        <f t="shared" si="170"/>
        <v>0</v>
      </c>
      <c r="T573" s="404">
        <f t="shared" si="171"/>
        <v>0</v>
      </c>
      <c r="U573" s="403"/>
      <c r="W573" s="43" t="str">
        <f t="shared" si="172"/>
        <v/>
      </c>
      <c r="X573" s="43" t="str">
        <f t="shared" si="146"/>
        <v/>
      </c>
      <c r="Y573" s="43" t="str">
        <f t="shared" si="151"/>
        <v/>
      </c>
    </row>
    <row r="574" spans="1:25" ht="13.5" hidden="1" thickBot="1">
      <c r="A574" s="397" t="s">
        <v>217</v>
      </c>
      <c r="B574" s="165" t="s">
        <v>217</v>
      </c>
      <c r="C574" s="166"/>
      <c r="D574" s="167"/>
      <c r="E574" s="168"/>
      <c r="F574" s="169"/>
      <c r="G574" s="170"/>
      <c r="H574" s="171"/>
      <c r="I574" s="452"/>
      <c r="J574" s="454">
        <f t="shared" si="166"/>
        <v>0</v>
      </c>
      <c r="K574" s="392" t="s">
        <v>1029</v>
      </c>
      <c r="L574" s="152">
        <v>0</v>
      </c>
      <c r="M574" s="152"/>
      <c r="N574" s="402">
        <f t="shared" si="173"/>
        <v>0</v>
      </c>
      <c r="O574" s="402">
        <f t="shared" si="168"/>
        <v>0</v>
      </c>
      <c r="P574" s="403"/>
      <c r="Q574" s="152">
        <f t="shared" si="169"/>
        <v>0</v>
      </c>
      <c r="R574" s="152">
        <f t="shared" si="169"/>
        <v>0</v>
      </c>
      <c r="S574" s="402">
        <f t="shared" si="170"/>
        <v>0</v>
      </c>
      <c r="T574" s="404">
        <f t="shared" si="171"/>
        <v>0</v>
      </c>
      <c r="U574" s="403"/>
      <c r="W574" s="43" t="str">
        <f t="shared" si="172"/>
        <v/>
      </c>
      <c r="X574" s="43" t="str">
        <f t="shared" si="146"/>
        <v/>
      </c>
      <c r="Y574" s="43" t="str">
        <f t="shared" si="151"/>
        <v/>
      </c>
    </row>
    <row r="575" spans="1:25" ht="13.5" hidden="1" thickBot="1">
      <c r="A575" s="397" t="s">
        <v>217</v>
      </c>
      <c r="B575" s="165" t="s">
        <v>217</v>
      </c>
      <c r="C575" s="166"/>
      <c r="D575" s="167"/>
      <c r="E575" s="168"/>
      <c r="F575" s="169"/>
      <c r="G575" s="170"/>
      <c r="H575" s="171"/>
      <c r="I575" s="452"/>
      <c r="J575" s="454">
        <f t="shared" si="166"/>
        <v>0</v>
      </c>
      <c r="K575" s="392" t="s">
        <v>1029</v>
      </c>
      <c r="L575" s="152">
        <v>0</v>
      </c>
      <c r="M575" s="152"/>
      <c r="N575" s="402">
        <f t="shared" si="173"/>
        <v>0</v>
      </c>
      <c r="O575" s="402">
        <f t="shared" si="168"/>
        <v>0</v>
      </c>
      <c r="P575" s="403"/>
      <c r="Q575" s="152">
        <f t="shared" si="169"/>
        <v>0</v>
      </c>
      <c r="R575" s="152">
        <f t="shared" si="169"/>
        <v>0</v>
      </c>
      <c r="S575" s="402">
        <f t="shared" si="170"/>
        <v>0</v>
      </c>
      <c r="T575" s="404">
        <f t="shared" si="171"/>
        <v>0</v>
      </c>
      <c r="U575" s="403"/>
      <c r="W575" s="43" t="str">
        <f t="shared" si="172"/>
        <v/>
      </c>
      <c r="X575" s="43" t="str">
        <f t="shared" si="146"/>
        <v/>
      </c>
      <c r="Y575" s="43" t="str">
        <f t="shared" si="151"/>
        <v/>
      </c>
    </row>
    <row r="576" spans="1:25" ht="13.5" hidden="1" thickBot="1">
      <c r="A576" s="397" t="s">
        <v>217</v>
      </c>
      <c r="B576" s="165" t="s">
        <v>217</v>
      </c>
      <c r="C576" s="166"/>
      <c r="D576" s="167"/>
      <c r="E576" s="168"/>
      <c r="F576" s="169"/>
      <c r="G576" s="170"/>
      <c r="H576" s="171"/>
      <c r="I576" s="452"/>
      <c r="J576" s="454">
        <f t="shared" si="166"/>
        <v>0</v>
      </c>
      <c r="K576" s="392" t="s">
        <v>1029</v>
      </c>
      <c r="L576" s="152">
        <v>0</v>
      </c>
      <c r="M576" s="152"/>
      <c r="N576" s="402">
        <f t="shared" si="173"/>
        <v>0</v>
      </c>
      <c r="O576" s="402">
        <f t="shared" si="168"/>
        <v>0</v>
      </c>
      <c r="P576" s="403"/>
      <c r="Q576" s="152">
        <f t="shared" si="169"/>
        <v>0</v>
      </c>
      <c r="R576" s="152">
        <f t="shared" si="169"/>
        <v>0</v>
      </c>
      <c r="S576" s="402">
        <f t="shared" si="170"/>
        <v>0</v>
      </c>
      <c r="T576" s="404">
        <f t="shared" si="171"/>
        <v>0</v>
      </c>
      <c r="U576" s="403"/>
      <c r="W576" s="43" t="str">
        <f t="shared" si="172"/>
        <v/>
      </c>
      <c r="X576" s="43" t="str">
        <f t="shared" si="146"/>
        <v/>
      </c>
      <c r="Y576" s="43" t="str">
        <f t="shared" si="151"/>
        <v/>
      </c>
    </row>
    <row r="577" spans="1:25" ht="13.5" hidden="1" thickBot="1">
      <c r="A577" s="397" t="s">
        <v>217</v>
      </c>
      <c r="B577" s="165" t="s">
        <v>217</v>
      </c>
      <c r="C577" s="166"/>
      <c r="D577" s="167"/>
      <c r="E577" s="168"/>
      <c r="F577" s="169"/>
      <c r="G577" s="170"/>
      <c r="H577" s="171"/>
      <c r="I577" s="452"/>
      <c r="J577" s="454">
        <f t="shared" si="166"/>
        <v>0</v>
      </c>
      <c r="K577" s="392" t="s">
        <v>1029</v>
      </c>
      <c r="L577" s="152">
        <v>0</v>
      </c>
      <c r="M577" s="152"/>
      <c r="N577" s="402">
        <f t="shared" si="173"/>
        <v>0</v>
      </c>
      <c r="O577" s="402">
        <f t="shared" si="168"/>
        <v>0</v>
      </c>
      <c r="P577" s="403"/>
      <c r="Q577" s="152">
        <f t="shared" si="169"/>
        <v>0</v>
      </c>
      <c r="R577" s="152">
        <f t="shared" si="169"/>
        <v>0</v>
      </c>
      <c r="S577" s="402">
        <f t="shared" si="170"/>
        <v>0</v>
      </c>
      <c r="T577" s="404">
        <f t="shared" si="171"/>
        <v>0</v>
      </c>
      <c r="U577" s="403"/>
      <c r="W577" s="43" t="str">
        <f t="shared" si="172"/>
        <v/>
      </c>
      <c r="X577" s="43" t="str">
        <f t="shared" si="146"/>
        <v/>
      </c>
      <c r="Y577" s="43" t="str">
        <f t="shared" si="151"/>
        <v/>
      </c>
    </row>
    <row r="578" spans="1:25" ht="13.5" hidden="1" thickBot="1">
      <c r="A578" s="397" t="s">
        <v>217</v>
      </c>
      <c r="B578" s="165" t="s">
        <v>217</v>
      </c>
      <c r="C578" s="166"/>
      <c r="D578" s="167"/>
      <c r="E578" s="168"/>
      <c r="F578" s="169"/>
      <c r="G578" s="170"/>
      <c r="H578" s="171"/>
      <c r="I578" s="452"/>
      <c r="J578" s="454">
        <f t="shared" si="166"/>
        <v>0</v>
      </c>
      <c r="K578" s="392" t="s">
        <v>1029</v>
      </c>
      <c r="L578" s="152">
        <v>0</v>
      </c>
      <c r="M578" s="152"/>
      <c r="N578" s="402">
        <f t="shared" si="173"/>
        <v>0</v>
      </c>
      <c r="O578" s="402">
        <f t="shared" si="168"/>
        <v>0</v>
      </c>
      <c r="P578" s="403"/>
      <c r="Q578" s="152">
        <f t="shared" si="169"/>
        <v>0</v>
      </c>
      <c r="R578" s="152">
        <f t="shared" si="169"/>
        <v>0</v>
      </c>
      <c r="S578" s="402">
        <f t="shared" si="170"/>
        <v>0</v>
      </c>
      <c r="T578" s="404">
        <f t="shared" si="171"/>
        <v>0</v>
      </c>
      <c r="U578" s="403"/>
      <c r="W578" s="43" t="str">
        <f t="shared" si="172"/>
        <v/>
      </c>
      <c r="X578" s="43" t="str">
        <f t="shared" si="146"/>
        <v/>
      </c>
      <c r="Y578" s="43" t="str">
        <f t="shared" si="151"/>
        <v/>
      </c>
    </row>
    <row r="579" spans="1:25" ht="13.5" hidden="1" thickBot="1">
      <c r="A579" s="397" t="s">
        <v>217</v>
      </c>
      <c r="B579" s="165" t="s">
        <v>217</v>
      </c>
      <c r="C579" s="166"/>
      <c r="D579" s="167"/>
      <c r="E579" s="168"/>
      <c r="F579" s="169"/>
      <c r="G579" s="170"/>
      <c r="H579" s="171"/>
      <c r="I579" s="452"/>
      <c r="J579" s="454">
        <f t="shared" si="166"/>
        <v>0</v>
      </c>
      <c r="K579" s="392" t="s">
        <v>1029</v>
      </c>
      <c r="L579" s="152">
        <v>0</v>
      </c>
      <c r="M579" s="152"/>
      <c r="N579" s="402">
        <f t="shared" si="173"/>
        <v>0</v>
      </c>
      <c r="O579" s="402">
        <f t="shared" si="168"/>
        <v>0</v>
      </c>
      <c r="P579" s="403"/>
      <c r="Q579" s="152">
        <f t="shared" si="169"/>
        <v>0</v>
      </c>
      <c r="R579" s="152">
        <f t="shared" si="169"/>
        <v>0</v>
      </c>
      <c r="S579" s="402">
        <f t="shared" si="170"/>
        <v>0</v>
      </c>
      <c r="T579" s="404">
        <f t="shared" si="171"/>
        <v>0</v>
      </c>
      <c r="U579" s="403"/>
      <c r="W579" s="43" t="str">
        <f t="shared" si="172"/>
        <v/>
      </c>
      <c r="X579" s="43" t="str">
        <f t="shared" si="146"/>
        <v/>
      </c>
      <c r="Y579" s="43" t="str">
        <f t="shared" si="151"/>
        <v/>
      </c>
    </row>
    <row r="580" spans="1:25" ht="13.5" hidden="1" thickBot="1">
      <c r="A580" s="397" t="s">
        <v>217</v>
      </c>
      <c r="B580" s="165" t="s">
        <v>217</v>
      </c>
      <c r="C580" s="166"/>
      <c r="D580" s="167"/>
      <c r="E580" s="168"/>
      <c r="F580" s="169"/>
      <c r="G580" s="170"/>
      <c r="H580" s="171"/>
      <c r="I580" s="452"/>
      <c r="J580" s="454">
        <f t="shared" si="166"/>
        <v>0</v>
      </c>
      <c r="K580" s="392" t="s">
        <v>1029</v>
      </c>
      <c r="L580" s="152">
        <v>0</v>
      </c>
      <c r="M580" s="152"/>
      <c r="N580" s="402">
        <f t="shared" si="173"/>
        <v>0</v>
      </c>
      <c r="O580" s="402">
        <f t="shared" si="168"/>
        <v>0</v>
      </c>
      <c r="P580" s="403"/>
      <c r="Q580" s="152">
        <f t="shared" si="169"/>
        <v>0</v>
      </c>
      <c r="R580" s="152">
        <f t="shared" si="169"/>
        <v>0</v>
      </c>
      <c r="S580" s="402">
        <f t="shared" si="170"/>
        <v>0</v>
      </c>
      <c r="T580" s="404">
        <f t="shared" si="171"/>
        <v>0</v>
      </c>
      <c r="U580" s="403"/>
      <c r="W580" s="43" t="str">
        <f t="shared" si="172"/>
        <v/>
      </c>
      <c r="X580" s="43" t="str">
        <f t="shared" si="146"/>
        <v/>
      </c>
      <c r="Y580" s="43" t="str">
        <f t="shared" si="151"/>
        <v/>
      </c>
    </row>
    <row r="581" spans="1:25" ht="13.5" hidden="1" thickBot="1">
      <c r="A581" s="397" t="s">
        <v>217</v>
      </c>
      <c r="B581" s="165" t="s">
        <v>217</v>
      </c>
      <c r="C581" s="166"/>
      <c r="D581" s="167"/>
      <c r="E581" s="168"/>
      <c r="F581" s="169"/>
      <c r="G581" s="170"/>
      <c r="H581" s="171"/>
      <c r="I581" s="452"/>
      <c r="J581" s="454">
        <f t="shared" si="166"/>
        <v>0</v>
      </c>
      <c r="K581" s="392" t="s">
        <v>1029</v>
      </c>
      <c r="L581" s="152">
        <v>0</v>
      </c>
      <c r="M581" s="152"/>
      <c r="N581" s="402">
        <f t="shared" si="173"/>
        <v>0</v>
      </c>
      <c r="O581" s="402">
        <f t="shared" si="168"/>
        <v>0</v>
      </c>
      <c r="P581" s="403"/>
      <c r="Q581" s="152">
        <f t="shared" si="169"/>
        <v>0</v>
      </c>
      <c r="R581" s="152">
        <f t="shared" si="169"/>
        <v>0</v>
      </c>
      <c r="S581" s="402">
        <f t="shared" si="170"/>
        <v>0</v>
      </c>
      <c r="T581" s="404">
        <f t="shared" si="171"/>
        <v>0</v>
      </c>
      <c r="U581" s="403"/>
      <c r="W581" s="43" t="str">
        <f t="shared" si="172"/>
        <v/>
      </c>
      <c r="X581" s="43" t="str">
        <f t="shared" si="146"/>
        <v/>
      </c>
      <c r="Y581" s="43" t="str">
        <f t="shared" si="151"/>
        <v/>
      </c>
    </row>
    <row r="582" spans="1:25" ht="13.5" hidden="1" thickBot="1">
      <c r="A582" s="397" t="s">
        <v>217</v>
      </c>
      <c r="B582" s="165" t="s">
        <v>217</v>
      </c>
      <c r="C582" s="166"/>
      <c r="D582" s="167"/>
      <c r="E582" s="168"/>
      <c r="F582" s="169"/>
      <c r="G582" s="170"/>
      <c r="H582" s="171"/>
      <c r="I582" s="452"/>
      <c r="J582" s="454">
        <f t="shared" si="166"/>
        <v>0</v>
      </c>
      <c r="K582" s="392" t="s">
        <v>1029</v>
      </c>
      <c r="L582" s="152">
        <v>0</v>
      </c>
      <c r="M582" s="152"/>
      <c r="N582" s="402">
        <f t="shared" si="173"/>
        <v>0</v>
      </c>
      <c r="O582" s="402">
        <f t="shared" si="168"/>
        <v>0</v>
      </c>
      <c r="P582" s="403"/>
      <c r="Q582" s="152">
        <f t="shared" si="169"/>
        <v>0</v>
      </c>
      <c r="R582" s="152">
        <f t="shared" si="169"/>
        <v>0</v>
      </c>
      <c r="S582" s="402">
        <f t="shared" si="170"/>
        <v>0</v>
      </c>
      <c r="T582" s="404">
        <f t="shared" si="171"/>
        <v>0</v>
      </c>
      <c r="U582" s="403"/>
      <c r="W582" s="43" t="str">
        <f t="shared" si="172"/>
        <v/>
      </c>
      <c r="X582" s="43" t="str">
        <f t="shared" si="146"/>
        <v/>
      </c>
      <c r="Y582" s="43" t="str">
        <f t="shared" si="151"/>
        <v/>
      </c>
    </row>
    <row r="583" spans="1:25" ht="13.5" hidden="1" thickBot="1">
      <c r="A583" s="397" t="s">
        <v>217</v>
      </c>
      <c r="B583" s="165" t="s">
        <v>217</v>
      </c>
      <c r="C583" s="166"/>
      <c r="D583" s="167"/>
      <c r="E583" s="168"/>
      <c r="F583" s="169"/>
      <c r="G583" s="170"/>
      <c r="H583" s="171"/>
      <c r="I583" s="452"/>
      <c r="J583" s="454">
        <f t="shared" si="166"/>
        <v>0</v>
      </c>
      <c r="K583" s="392" t="s">
        <v>1029</v>
      </c>
      <c r="L583" s="152">
        <v>0</v>
      </c>
      <c r="M583" s="152"/>
      <c r="N583" s="402">
        <f t="shared" si="173"/>
        <v>0</v>
      </c>
      <c r="O583" s="402">
        <f t="shared" si="168"/>
        <v>0</v>
      </c>
      <c r="P583" s="403"/>
      <c r="Q583" s="152">
        <f t="shared" si="169"/>
        <v>0</v>
      </c>
      <c r="R583" s="152">
        <f t="shared" si="169"/>
        <v>0</v>
      </c>
      <c r="S583" s="402">
        <f t="shared" si="170"/>
        <v>0</v>
      </c>
      <c r="T583" s="404">
        <f t="shared" si="171"/>
        <v>0</v>
      </c>
      <c r="U583" s="403"/>
      <c r="W583" s="43" t="str">
        <f t="shared" si="172"/>
        <v/>
      </c>
      <c r="X583" s="43" t="str">
        <f t="shared" si="146"/>
        <v/>
      </c>
      <c r="Y583" s="43" t="str">
        <f t="shared" si="151"/>
        <v/>
      </c>
    </row>
    <row r="584" spans="1:25" ht="13.5" hidden="1" thickBot="1">
      <c r="A584" s="397" t="s">
        <v>217</v>
      </c>
      <c r="B584" s="165" t="s">
        <v>217</v>
      </c>
      <c r="C584" s="166"/>
      <c r="D584" s="167"/>
      <c r="E584" s="168"/>
      <c r="F584" s="169"/>
      <c r="G584" s="170"/>
      <c r="H584" s="171"/>
      <c r="I584" s="452"/>
      <c r="J584" s="454">
        <f t="shared" si="166"/>
        <v>0</v>
      </c>
      <c r="K584" s="392" t="s">
        <v>1029</v>
      </c>
      <c r="L584" s="152">
        <v>0</v>
      </c>
      <c r="M584" s="152"/>
      <c r="N584" s="402">
        <f t="shared" si="173"/>
        <v>0</v>
      </c>
      <c r="O584" s="402">
        <f t="shared" si="168"/>
        <v>0</v>
      </c>
      <c r="P584" s="403"/>
      <c r="Q584" s="152">
        <f t="shared" si="169"/>
        <v>0</v>
      </c>
      <c r="R584" s="152">
        <f t="shared" si="169"/>
        <v>0</v>
      </c>
      <c r="S584" s="402">
        <f t="shared" si="170"/>
        <v>0</v>
      </c>
      <c r="T584" s="404">
        <f t="shared" si="171"/>
        <v>0</v>
      </c>
      <c r="U584" s="403"/>
      <c r="W584" s="43" t="str">
        <f t="shared" si="172"/>
        <v/>
      </c>
      <c r="X584" s="43" t="str">
        <f t="shared" si="146"/>
        <v/>
      </c>
      <c r="Y584" s="43" t="str">
        <f t="shared" si="151"/>
        <v/>
      </c>
    </row>
    <row r="585" spans="1:25" ht="13.5" hidden="1" thickBot="1">
      <c r="A585" s="397" t="s">
        <v>217</v>
      </c>
      <c r="B585" s="165" t="s">
        <v>217</v>
      </c>
      <c r="C585" s="166"/>
      <c r="D585" s="167"/>
      <c r="E585" s="168"/>
      <c r="F585" s="169"/>
      <c r="G585" s="170"/>
      <c r="H585" s="171"/>
      <c r="I585" s="452"/>
      <c r="J585" s="454">
        <f t="shared" si="166"/>
        <v>0</v>
      </c>
      <c r="K585" s="392" t="s">
        <v>1029</v>
      </c>
      <c r="L585" s="152">
        <v>0</v>
      </c>
      <c r="M585" s="152"/>
      <c r="N585" s="402">
        <f t="shared" si="173"/>
        <v>0</v>
      </c>
      <c r="O585" s="402">
        <f t="shared" si="168"/>
        <v>0</v>
      </c>
      <c r="P585" s="403"/>
      <c r="Q585" s="152">
        <f t="shared" si="169"/>
        <v>0</v>
      </c>
      <c r="R585" s="152">
        <f t="shared" si="169"/>
        <v>0</v>
      </c>
      <c r="S585" s="402">
        <f t="shared" si="170"/>
        <v>0</v>
      </c>
      <c r="T585" s="404">
        <f t="shared" si="171"/>
        <v>0</v>
      </c>
      <c r="U585" s="403"/>
      <c r="W585" s="43" t="str">
        <f t="shared" si="172"/>
        <v/>
      </c>
      <c r="X585" s="43" t="str">
        <f t="shared" si="146"/>
        <v/>
      </c>
      <c r="Y585" s="43" t="str">
        <f t="shared" si="151"/>
        <v/>
      </c>
    </row>
    <row r="586" spans="1:25" ht="13.5" hidden="1" thickBot="1">
      <c r="A586" s="397" t="s">
        <v>217</v>
      </c>
      <c r="B586" s="165" t="s">
        <v>217</v>
      </c>
      <c r="C586" s="166"/>
      <c r="D586" s="167"/>
      <c r="E586" s="168"/>
      <c r="F586" s="169"/>
      <c r="G586" s="170"/>
      <c r="H586" s="171"/>
      <c r="I586" s="452"/>
      <c r="J586" s="454">
        <f t="shared" si="166"/>
        <v>0</v>
      </c>
      <c r="K586" s="392" t="s">
        <v>1029</v>
      </c>
      <c r="L586" s="152">
        <v>0</v>
      </c>
      <c r="M586" s="152"/>
      <c r="N586" s="402">
        <f t="shared" si="173"/>
        <v>0</v>
      </c>
      <c r="O586" s="402">
        <f t="shared" si="168"/>
        <v>0</v>
      </c>
      <c r="P586" s="403"/>
      <c r="Q586" s="152">
        <f t="shared" si="169"/>
        <v>0</v>
      </c>
      <c r="R586" s="152">
        <f t="shared" si="169"/>
        <v>0</v>
      </c>
      <c r="S586" s="402">
        <f t="shared" si="170"/>
        <v>0</v>
      </c>
      <c r="T586" s="404">
        <f t="shared" si="171"/>
        <v>0</v>
      </c>
      <c r="U586" s="403"/>
      <c r="W586" s="43" t="str">
        <f t="shared" si="172"/>
        <v/>
      </c>
      <c r="X586" s="43" t="str">
        <f t="shared" si="146"/>
        <v/>
      </c>
      <c r="Y586" s="43" t="str">
        <f t="shared" si="151"/>
        <v/>
      </c>
    </row>
    <row r="587" spans="1:25" ht="13.5" hidden="1" thickBot="1">
      <c r="A587" s="397" t="s">
        <v>217</v>
      </c>
      <c r="B587" s="165" t="s">
        <v>217</v>
      </c>
      <c r="C587" s="166"/>
      <c r="D587" s="167"/>
      <c r="E587" s="168"/>
      <c r="F587" s="169"/>
      <c r="G587" s="170"/>
      <c r="H587" s="171"/>
      <c r="I587" s="452"/>
      <c r="J587" s="454">
        <f t="shared" si="166"/>
        <v>0</v>
      </c>
      <c r="K587" s="392" t="s">
        <v>1029</v>
      </c>
      <c r="L587" s="152">
        <v>0</v>
      </c>
      <c r="M587" s="152"/>
      <c r="N587" s="402">
        <f t="shared" si="173"/>
        <v>0</v>
      </c>
      <c r="O587" s="402">
        <f t="shared" si="168"/>
        <v>0</v>
      </c>
      <c r="P587" s="403"/>
      <c r="Q587" s="152">
        <f t="shared" si="169"/>
        <v>0</v>
      </c>
      <c r="R587" s="152">
        <f t="shared" si="169"/>
        <v>0</v>
      </c>
      <c r="S587" s="402">
        <f t="shared" si="170"/>
        <v>0</v>
      </c>
      <c r="T587" s="404">
        <f t="shared" si="171"/>
        <v>0</v>
      </c>
      <c r="U587" s="403"/>
      <c r="W587" s="43" t="str">
        <f t="shared" si="172"/>
        <v/>
      </c>
      <c r="X587" s="43" t="str">
        <f t="shared" si="146"/>
        <v/>
      </c>
      <c r="Y587" s="43" t="str">
        <f t="shared" si="151"/>
        <v/>
      </c>
    </row>
    <row r="588" spans="1:25" ht="13.5" hidden="1" thickBot="1">
      <c r="A588" s="397" t="s">
        <v>217</v>
      </c>
      <c r="B588" s="165" t="s">
        <v>217</v>
      </c>
      <c r="C588" s="166"/>
      <c r="D588" s="167"/>
      <c r="E588" s="168"/>
      <c r="F588" s="169"/>
      <c r="G588" s="170"/>
      <c r="H588" s="171"/>
      <c r="I588" s="452"/>
      <c r="J588" s="454">
        <f t="shared" si="166"/>
        <v>0</v>
      </c>
      <c r="K588" s="392" t="s">
        <v>1029</v>
      </c>
      <c r="L588" s="152">
        <v>0</v>
      </c>
      <c r="M588" s="152"/>
      <c r="N588" s="402">
        <f t="shared" si="173"/>
        <v>0</v>
      </c>
      <c r="O588" s="402">
        <f t="shared" si="168"/>
        <v>0</v>
      </c>
      <c r="P588" s="403"/>
      <c r="Q588" s="152">
        <f t="shared" si="169"/>
        <v>0</v>
      </c>
      <c r="R588" s="152">
        <f t="shared" si="169"/>
        <v>0</v>
      </c>
      <c r="S588" s="402">
        <f t="shared" si="170"/>
        <v>0</v>
      </c>
      <c r="T588" s="404">
        <f t="shared" si="171"/>
        <v>0</v>
      </c>
      <c r="U588" s="403"/>
      <c r="W588" s="43" t="str">
        <f t="shared" si="172"/>
        <v/>
      </c>
      <c r="X588" s="43" t="str">
        <f t="shared" si="146"/>
        <v/>
      </c>
      <c r="Y588" s="43" t="str">
        <f t="shared" si="151"/>
        <v/>
      </c>
    </row>
    <row r="589" spans="1:25" ht="13.5" hidden="1" thickBot="1">
      <c r="A589" s="398" t="s">
        <v>217</v>
      </c>
      <c r="B589" s="172" t="s">
        <v>217</v>
      </c>
      <c r="C589" s="173"/>
      <c r="D589" s="174"/>
      <c r="E589" s="175"/>
      <c r="F589" s="176"/>
      <c r="G589" s="177"/>
      <c r="H589" s="178"/>
      <c r="I589" s="455"/>
      <c r="J589" s="456">
        <f t="shared" si="166"/>
        <v>0</v>
      </c>
      <c r="K589" s="393" t="s">
        <v>1029</v>
      </c>
      <c r="L589" s="469">
        <v>0</v>
      </c>
      <c r="M589" s="152"/>
      <c r="N589" s="163">
        <f t="shared" si="173"/>
        <v>0</v>
      </c>
      <c r="O589" s="163">
        <f t="shared" si="168"/>
        <v>0</v>
      </c>
      <c r="P589" s="403"/>
      <c r="Q589" s="152">
        <f t="shared" si="169"/>
        <v>0</v>
      </c>
      <c r="R589" s="152">
        <f t="shared" si="169"/>
        <v>0</v>
      </c>
      <c r="S589" s="163">
        <f t="shared" si="170"/>
        <v>0</v>
      </c>
      <c r="T589" s="179">
        <f t="shared" si="171"/>
        <v>0</v>
      </c>
      <c r="U589" s="403"/>
      <c r="W589" s="43" t="str">
        <f t="shared" si="172"/>
        <v/>
      </c>
      <c r="X589" s="43" t="str">
        <f t="shared" si="146"/>
        <v/>
      </c>
      <c r="Y589" s="43" t="str">
        <f t="shared" si="151"/>
        <v/>
      </c>
    </row>
    <row r="590" spans="1:25" ht="13.5" thickBot="1">
      <c r="A590" s="180" t="s">
        <v>567</v>
      </c>
      <c r="B590" s="181"/>
      <c r="C590" s="346" t="s">
        <v>604</v>
      </c>
      <c r="D590" s="137"/>
      <c r="E590" s="138"/>
      <c r="F590" s="139"/>
      <c r="G590" s="140"/>
      <c r="H590" s="141"/>
      <c r="I590" s="141"/>
      <c r="J590" s="141"/>
      <c r="K590" s="141" t="s">
        <v>1029</v>
      </c>
      <c r="L590" s="470">
        <v>0</v>
      </c>
      <c r="M590" s="141"/>
      <c r="N590" s="141"/>
      <c r="O590" s="142"/>
      <c r="P590" s="143">
        <f>SUM(O591:O648)</f>
        <v>21397.79</v>
      </c>
      <c r="Q590" s="140"/>
      <c r="R590" s="141"/>
      <c r="S590" s="141"/>
      <c r="T590" s="142"/>
      <c r="U590" s="143">
        <f>SUM(T591:T648)</f>
        <v>21397.79</v>
      </c>
      <c r="V590" s="144" t="str">
        <f>IF(OR(P590&gt;0,U590&gt;0),"X","")</f>
        <v>X</v>
      </c>
      <c r="W590" s="43" t="str">
        <f t="shared" si="172"/>
        <v>x</v>
      </c>
      <c r="X590" s="43" t="str">
        <f t="shared" si="146"/>
        <v>x</v>
      </c>
      <c r="Y590" s="43" t="str">
        <f t="shared" si="151"/>
        <v>x</v>
      </c>
    </row>
    <row r="591" spans="1:25" hidden="1">
      <c r="A591" s="155">
        <v>813000</v>
      </c>
      <c r="B591" s="156" t="s">
        <v>242</v>
      </c>
      <c r="C591" s="411" t="s">
        <v>375</v>
      </c>
      <c r="D591" s="351"/>
      <c r="E591" s="405"/>
      <c r="F591" s="406"/>
      <c r="G591" s="158">
        <f>SUM(G592:G594)</f>
        <v>11.752315000000001</v>
      </c>
      <c r="H591" s="465">
        <v>198.76999999999998</v>
      </c>
      <c r="I591" s="465">
        <f t="shared" ref="I591:I599" si="174">IF(ISBLANK(H591),"",SUM(G591:H591))</f>
        <v>210.52231499999999</v>
      </c>
      <c r="J591" s="407">
        <f t="shared" ref="J591" si="175">IF(ISBLANK(H591),0,ROUND(I591*(1+$E$10)*(1+$E$11*D591),2))</f>
        <v>266.94</v>
      </c>
      <c r="K591" s="408" t="s">
        <v>20</v>
      </c>
      <c r="L591" s="152">
        <v>0</v>
      </c>
      <c r="M591" s="152"/>
      <c r="N591" s="402">
        <f t="shared" ref="N591:N615" si="176">IF(ISBLANK(L591),0,ROUND(J591*L591,2))</f>
        <v>0</v>
      </c>
      <c r="O591" s="402">
        <f t="shared" ref="O591:O615" si="177">IF(ISBLANK(M591),0,ROUND(L591*M591,2))</f>
        <v>0</v>
      </c>
      <c r="P591" s="403"/>
      <c r="Q591" s="152">
        <f t="shared" ref="Q591:R606" si="178">L591</f>
        <v>0</v>
      </c>
      <c r="R591" s="152">
        <f t="shared" si="178"/>
        <v>0</v>
      </c>
      <c r="S591" s="402">
        <f t="shared" ref="S591:S615" si="179">IF(ISBLANK(Q591),0,ROUND(J591*Q591,2))</f>
        <v>0</v>
      </c>
      <c r="T591" s="404">
        <f t="shared" ref="T591:T615" si="180">IF(ISBLANK(Q591),0,ROUND(Q591*R591,2))</f>
        <v>0</v>
      </c>
      <c r="U591" s="403"/>
      <c r="W591" s="43" t="str">
        <f t="shared" si="172"/>
        <v/>
      </c>
      <c r="X591" s="43" t="str">
        <f t="shared" si="146"/>
        <v/>
      </c>
      <c r="Y591" s="43" t="str">
        <f t="shared" si="151"/>
        <v/>
      </c>
    </row>
    <row r="592" spans="1:25" hidden="1">
      <c r="A592" s="155" t="s">
        <v>183</v>
      </c>
      <c r="B592" s="156"/>
      <c r="C592" s="348" t="s">
        <v>251</v>
      </c>
      <c r="D592" s="157"/>
      <c r="E592" s="405">
        <v>500</v>
      </c>
      <c r="F592" s="406">
        <v>1.7600000000000001E-2</v>
      </c>
      <c r="G592" s="158">
        <f>IF(E592&lt;=30,(0.42*E592+3.55)*F592,((0.42*30+3.55)+0.35*(E592-30))*F592)</f>
        <v>3.1794400000000005</v>
      </c>
      <c r="H592" s="465"/>
      <c r="I592" s="465" t="str">
        <f t="shared" si="174"/>
        <v/>
      </c>
      <c r="J592" s="407">
        <f>IF(ISBLANK(H592),0,ROUND(I592*(1+$E$10)*(1-$E$11*#REF!),2))</f>
        <v>0</v>
      </c>
      <c r="K592" s="394" t="s">
        <v>1029</v>
      </c>
      <c r="L592" s="152">
        <v>0</v>
      </c>
      <c r="M592" s="213"/>
      <c r="N592" s="402">
        <f t="shared" si="176"/>
        <v>0</v>
      </c>
      <c r="O592" s="402">
        <f t="shared" si="177"/>
        <v>0</v>
      </c>
      <c r="P592" s="403"/>
      <c r="Q592" s="212"/>
      <c r="R592" s="213"/>
      <c r="S592" s="402">
        <f t="shared" si="179"/>
        <v>0</v>
      </c>
      <c r="T592" s="404">
        <f t="shared" si="180"/>
        <v>0</v>
      </c>
      <c r="U592" s="403"/>
      <c r="V592" s="144" t="str">
        <f>IF(T591&gt;0,"xx",IF(O591&gt;0,"xy",""))</f>
        <v/>
      </c>
      <c r="W592" s="43" t="str">
        <f t="shared" si="172"/>
        <v/>
      </c>
      <c r="X592" s="43" t="str">
        <f t="shared" si="146"/>
        <v/>
      </c>
      <c r="Y592" s="43" t="str">
        <f t="shared" si="151"/>
        <v/>
      </c>
    </row>
    <row r="593" spans="1:25" hidden="1">
      <c r="A593" s="155" t="s">
        <v>183</v>
      </c>
      <c r="B593" s="156"/>
      <c r="C593" s="348" t="s">
        <v>314</v>
      </c>
      <c r="D593" s="157"/>
      <c r="E593" s="405">
        <v>180</v>
      </c>
      <c r="F593" s="406">
        <v>7.3400000000000007E-2</v>
      </c>
      <c r="G593" s="412">
        <f>IF(E593&lt;=30,(0.6*E593+1.25)*F593,((0.6*30+1.25)+0.5*(E593-30))*F593)</f>
        <v>6.9179500000000003</v>
      </c>
      <c r="H593" s="465"/>
      <c r="I593" s="465" t="str">
        <f t="shared" si="174"/>
        <v/>
      </c>
      <c r="J593" s="407">
        <f>IF(ISBLANK(H593),0,ROUND(I593*(1+$E$10)*(1-$E$11*#REF!),2))</f>
        <v>0</v>
      </c>
      <c r="K593" s="394" t="s">
        <v>1029</v>
      </c>
      <c r="L593" s="152">
        <v>0</v>
      </c>
      <c r="M593" s="213"/>
      <c r="N593" s="402">
        <f t="shared" si="176"/>
        <v>0</v>
      </c>
      <c r="O593" s="402">
        <f t="shared" si="177"/>
        <v>0</v>
      </c>
      <c r="P593" s="403"/>
      <c r="Q593" s="212"/>
      <c r="R593" s="213"/>
      <c r="S593" s="402">
        <f t="shared" si="179"/>
        <v>0</v>
      </c>
      <c r="T593" s="404">
        <f t="shared" si="180"/>
        <v>0</v>
      </c>
      <c r="U593" s="403"/>
      <c r="V593" s="144" t="str">
        <f>IF(T591&gt;0,"xx",IF(O591&gt;0,"xy",""))</f>
        <v/>
      </c>
      <c r="W593" s="43" t="str">
        <f t="shared" si="172"/>
        <v/>
      </c>
      <c r="X593" s="43" t="str">
        <f t="shared" si="146"/>
        <v/>
      </c>
      <c r="Y593" s="43" t="str">
        <f t="shared" si="151"/>
        <v/>
      </c>
    </row>
    <row r="594" spans="1:25" hidden="1">
      <c r="A594" s="155" t="s">
        <v>183</v>
      </c>
      <c r="B594" s="156"/>
      <c r="C594" s="348" t="s">
        <v>323</v>
      </c>
      <c r="D594" s="157"/>
      <c r="E594" s="405">
        <v>20</v>
      </c>
      <c r="F594" s="406">
        <v>0.1249</v>
      </c>
      <c r="G594" s="412">
        <f>IF(E594&lt;=30,(0.6*E594+1.25)*F594,((0.6*30+1.25)+0.5*(E594-30))*F594)</f>
        <v>1.654925</v>
      </c>
      <c r="H594" s="465"/>
      <c r="I594" s="465" t="str">
        <f t="shared" si="174"/>
        <v/>
      </c>
      <c r="J594" s="407">
        <f>IF(ISBLANK(H594),0,ROUND(I594*(1+$E$10)*(1-$E$11*#REF!),2))</f>
        <v>0</v>
      </c>
      <c r="K594" s="394" t="s">
        <v>1029</v>
      </c>
      <c r="L594" s="152">
        <v>0</v>
      </c>
      <c r="M594" s="213"/>
      <c r="N594" s="402">
        <f t="shared" si="176"/>
        <v>0</v>
      </c>
      <c r="O594" s="402">
        <f t="shared" si="177"/>
        <v>0</v>
      </c>
      <c r="P594" s="403"/>
      <c r="Q594" s="212"/>
      <c r="R594" s="213"/>
      <c r="S594" s="402">
        <f t="shared" si="179"/>
        <v>0</v>
      </c>
      <c r="T594" s="404">
        <f t="shared" si="180"/>
        <v>0</v>
      </c>
      <c r="U594" s="403"/>
      <c r="V594" s="144" t="str">
        <f>IF(T591&gt;0,"xx",IF(O591&gt;0,"xy",""))</f>
        <v/>
      </c>
      <c r="W594" s="43" t="str">
        <f t="shared" si="172"/>
        <v/>
      </c>
      <c r="X594" s="43" t="str">
        <f t="shared" si="146"/>
        <v/>
      </c>
      <c r="Y594" s="43" t="str">
        <f t="shared" si="151"/>
        <v/>
      </c>
    </row>
    <row r="595" spans="1:25" hidden="1">
      <c r="A595" s="155">
        <v>814000</v>
      </c>
      <c r="B595" s="156" t="s">
        <v>242</v>
      </c>
      <c r="C595" s="411" t="s">
        <v>376</v>
      </c>
      <c r="D595" s="351"/>
      <c r="E595" s="405"/>
      <c r="F595" s="406"/>
      <c r="G595" s="158">
        <f>SUM(G596:G598)</f>
        <v>11.752315000000001</v>
      </c>
      <c r="H595" s="465">
        <v>196.45999999999998</v>
      </c>
      <c r="I595" s="465">
        <f t="shared" si="174"/>
        <v>208.21231499999999</v>
      </c>
      <c r="J595" s="407">
        <f>IF(ISBLANK(H595),0,ROUND(I595*(1+$E$10)*(1+$E$11*D595),2))</f>
        <v>264.01</v>
      </c>
      <c r="K595" s="408" t="s">
        <v>20</v>
      </c>
      <c r="L595" s="152">
        <v>0</v>
      </c>
      <c r="M595" s="152"/>
      <c r="N595" s="402">
        <f t="shared" si="176"/>
        <v>0</v>
      </c>
      <c r="O595" s="402">
        <f t="shared" si="177"/>
        <v>0</v>
      </c>
      <c r="P595" s="403"/>
      <c r="Q595" s="152">
        <f t="shared" si="178"/>
        <v>0</v>
      </c>
      <c r="R595" s="152">
        <f t="shared" si="178"/>
        <v>0</v>
      </c>
      <c r="S595" s="402">
        <f t="shared" si="179"/>
        <v>0</v>
      </c>
      <c r="T595" s="404">
        <f t="shared" si="180"/>
        <v>0</v>
      </c>
      <c r="U595" s="403"/>
      <c r="W595" s="43" t="str">
        <f t="shared" si="172"/>
        <v/>
      </c>
      <c r="X595" s="43" t="str">
        <f t="shared" si="146"/>
        <v/>
      </c>
      <c r="Y595" s="43" t="str">
        <f t="shared" si="151"/>
        <v/>
      </c>
    </row>
    <row r="596" spans="1:25" hidden="1">
      <c r="A596" s="155" t="s">
        <v>183</v>
      </c>
      <c r="B596" s="156"/>
      <c r="C596" s="348" t="s">
        <v>251</v>
      </c>
      <c r="D596" s="157"/>
      <c r="E596" s="405">
        <v>500</v>
      </c>
      <c r="F596" s="406">
        <v>1.7600000000000001E-2</v>
      </c>
      <c r="G596" s="158">
        <f>IF(E596&lt;=30,(0.42*E596+3.55)*F596,((0.42*30+3.55)+0.35*(E596-30))*F596)</f>
        <v>3.1794400000000005</v>
      </c>
      <c r="H596" s="465"/>
      <c r="I596" s="465" t="str">
        <f t="shared" si="174"/>
        <v/>
      </c>
      <c r="J596" s="407">
        <f>IF(ISBLANK(H596),0,ROUND(I596*(1+$E$10)*(1-$E$11*#REF!),2))</f>
        <v>0</v>
      </c>
      <c r="K596" s="394" t="s">
        <v>1029</v>
      </c>
      <c r="L596" s="152">
        <v>0</v>
      </c>
      <c r="M596" s="213"/>
      <c r="N596" s="402">
        <f t="shared" si="176"/>
        <v>0</v>
      </c>
      <c r="O596" s="402">
        <f t="shared" si="177"/>
        <v>0</v>
      </c>
      <c r="P596" s="403"/>
      <c r="Q596" s="212"/>
      <c r="R596" s="213"/>
      <c r="S596" s="402">
        <f t="shared" si="179"/>
        <v>0</v>
      </c>
      <c r="T596" s="404">
        <f t="shared" si="180"/>
        <v>0</v>
      </c>
      <c r="U596" s="403"/>
      <c r="V596" s="144" t="str">
        <f>IF(T595&gt;0,"xx",IF(O595&gt;0,"xy",""))</f>
        <v/>
      </c>
      <c r="W596" s="43" t="str">
        <f t="shared" si="172"/>
        <v/>
      </c>
      <c r="X596" s="43" t="str">
        <f t="shared" si="146"/>
        <v/>
      </c>
      <c r="Y596" s="43" t="str">
        <f t="shared" si="151"/>
        <v/>
      </c>
    </row>
    <row r="597" spans="1:25" hidden="1">
      <c r="A597" s="155" t="s">
        <v>183</v>
      </c>
      <c r="B597" s="156"/>
      <c r="C597" s="348" t="s">
        <v>314</v>
      </c>
      <c r="D597" s="157"/>
      <c r="E597" s="405">
        <v>180</v>
      </c>
      <c r="F597" s="406">
        <v>7.3400000000000007E-2</v>
      </c>
      <c r="G597" s="412">
        <f>IF(E597&lt;=30,(0.6*E597+1.25)*F597,((0.6*30+1.25)+0.5*(E597-30))*F597)</f>
        <v>6.9179500000000003</v>
      </c>
      <c r="H597" s="465"/>
      <c r="I597" s="465" t="str">
        <f t="shared" si="174"/>
        <v/>
      </c>
      <c r="J597" s="407">
        <f>IF(ISBLANK(H597),0,ROUND(I597*(1+$E$10)*(1-$E$11*#REF!),2))</f>
        <v>0</v>
      </c>
      <c r="K597" s="394" t="s">
        <v>1029</v>
      </c>
      <c r="L597" s="152">
        <v>0</v>
      </c>
      <c r="M597" s="213"/>
      <c r="N597" s="402">
        <f t="shared" si="176"/>
        <v>0</v>
      </c>
      <c r="O597" s="402">
        <f t="shared" si="177"/>
        <v>0</v>
      </c>
      <c r="P597" s="403"/>
      <c r="Q597" s="212"/>
      <c r="R597" s="213"/>
      <c r="S597" s="402">
        <f t="shared" si="179"/>
        <v>0</v>
      </c>
      <c r="T597" s="404">
        <f t="shared" si="180"/>
        <v>0</v>
      </c>
      <c r="U597" s="403"/>
      <c r="V597" s="144" t="str">
        <f>IF(T595&gt;0,"xx",IF(O595&gt;0,"xy",""))</f>
        <v/>
      </c>
      <c r="W597" s="43" t="str">
        <f t="shared" si="172"/>
        <v/>
      </c>
      <c r="X597" s="43" t="str">
        <f t="shared" si="146"/>
        <v/>
      </c>
      <c r="Y597" s="43" t="str">
        <f t="shared" si="151"/>
        <v/>
      </c>
    </row>
    <row r="598" spans="1:25" hidden="1">
      <c r="A598" s="155" t="s">
        <v>183</v>
      </c>
      <c r="B598" s="156"/>
      <c r="C598" s="348" t="s">
        <v>323</v>
      </c>
      <c r="D598" s="157"/>
      <c r="E598" s="405">
        <v>20</v>
      </c>
      <c r="F598" s="406">
        <v>0.1249</v>
      </c>
      <c r="G598" s="412">
        <f>IF(E598&lt;=30,(0.6*E598+1.25)*F598,((0.6*30+1.25)+0.5*(E598-30))*F598)</f>
        <v>1.654925</v>
      </c>
      <c r="H598" s="465"/>
      <c r="I598" s="465" t="str">
        <f t="shared" si="174"/>
        <v/>
      </c>
      <c r="J598" s="407">
        <f>IF(ISBLANK(H598),0,ROUND(I598*(1+$E$10)*(1-$E$11*#REF!),2))</f>
        <v>0</v>
      </c>
      <c r="K598" s="394" t="s">
        <v>1029</v>
      </c>
      <c r="L598" s="152">
        <v>0</v>
      </c>
      <c r="M598" s="213"/>
      <c r="N598" s="402">
        <f t="shared" si="176"/>
        <v>0</v>
      </c>
      <c r="O598" s="402">
        <f t="shared" si="177"/>
        <v>0</v>
      </c>
      <c r="P598" s="403"/>
      <c r="Q598" s="212"/>
      <c r="R598" s="213"/>
      <c r="S598" s="402">
        <f t="shared" si="179"/>
        <v>0</v>
      </c>
      <c r="T598" s="404">
        <f t="shared" si="180"/>
        <v>0</v>
      </c>
      <c r="U598" s="403"/>
      <c r="V598" s="144" t="str">
        <f>IF(T595&gt;0,"xx",IF(O595&gt;0,"xy",""))</f>
        <v/>
      </c>
      <c r="W598" s="43" t="str">
        <f t="shared" si="172"/>
        <v/>
      </c>
      <c r="X598" s="43" t="str">
        <f t="shared" si="146"/>
        <v/>
      </c>
      <c r="Y598" s="43" t="str">
        <f t="shared" si="151"/>
        <v/>
      </c>
    </row>
    <row r="599" spans="1:25" hidden="1">
      <c r="A599" s="155">
        <v>823000</v>
      </c>
      <c r="B599" s="156" t="s">
        <v>242</v>
      </c>
      <c r="C599" s="411" t="s">
        <v>377</v>
      </c>
      <c r="D599" s="351"/>
      <c r="E599" s="405">
        <v>0</v>
      </c>
      <c r="F599" s="406"/>
      <c r="G599" s="158">
        <v>0</v>
      </c>
      <c r="H599" s="465">
        <v>201.32</v>
      </c>
      <c r="I599" s="465">
        <f t="shared" si="174"/>
        <v>201.32</v>
      </c>
      <c r="J599" s="407">
        <f t="shared" ref="J599:J615" si="181">IF(ISBLANK(H599),0,ROUND(I599*(1+$E$10)*(1+$E$11*D599),2))</f>
        <v>255.27</v>
      </c>
      <c r="K599" s="408" t="s">
        <v>20</v>
      </c>
      <c r="L599" s="152">
        <v>0</v>
      </c>
      <c r="M599" s="152"/>
      <c r="N599" s="402">
        <f t="shared" si="176"/>
        <v>0</v>
      </c>
      <c r="O599" s="402">
        <f t="shared" si="177"/>
        <v>0</v>
      </c>
      <c r="P599" s="403"/>
      <c r="Q599" s="152">
        <f t="shared" si="178"/>
        <v>0</v>
      </c>
      <c r="R599" s="152">
        <f t="shared" si="178"/>
        <v>0</v>
      </c>
      <c r="S599" s="402">
        <f t="shared" si="179"/>
        <v>0</v>
      </c>
      <c r="T599" s="404">
        <f t="shared" si="180"/>
        <v>0</v>
      </c>
      <c r="U599" s="403"/>
      <c r="W599" s="43" t="str">
        <f t="shared" si="172"/>
        <v/>
      </c>
      <c r="X599" s="43" t="str">
        <f t="shared" si="146"/>
        <v/>
      </c>
      <c r="Y599" s="43" t="str">
        <f t="shared" si="151"/>
        <v/>
      </c>
    </row>
    <row r="600" spans="1:25" hidden="1">
      <c r="A600" s="155">
        <v>871000</v>
      </c>
      <c r="B600" s="156" t="s">
        <v>242</v>
      </c>
      <c r="C600" s="411" t="s">
        <v>651</v>
      </c>
      <c r="D600" s="351"/>
      <c r="E600" s="405"/>
      <c r="F600" s="406"/>
      <c r="G600" s="158"/>
      <c r="H600" s="465">
        <v>19.82</v>
      </c>
      <c r="I600" s="465">
        <f>IF(ISBLANK(H600),"",SUM(G600:H600))</f>
        <v>19.82</v>
      </c>
      <c r="J600" s="407">
        <f t="shared" si="181"/>
        <v>25.13</v>
      </c>
      <c r="K600" s="408" t="s">
        <v>23</v>
      </c>
      <c r="L600" s="152">
        <v>0</v>
      </c>
      <c r="M600" s="152"/>
      <c r="N600" s="402">
        <f t="shared" si="176"/>
        <v>0</v>
      </c>
      <c r="O600" s="402">
        <f t="shared" si="177"/>
        <v>0</v>
      </c>
      <c r="P600" s="403"/>
      <c r="Q600" s="152">
        <f t="shared" si="178"/>
        <v>0</v>
      </c>
      <c r="R600" s="152">
        <f t="shared" si="178"/>
        <v>0</v>
      </c>
      <c r="S600" s="402">
        <f t="shared" si="179"/>
        <v>0</v>
      </c>
      <c r="T600" s="404">
        <f t="shared" si="180"/>
        <v>0</v>
      </c>
      <c r="U600" s="403"/>
      <c r="W600" s="43" t="str">
        <f t="shared" si="172"/>
        <v/>
      </c>
      <c r="X600" s="43" t="str">
        <f t="shared" si="146"/>
        <v/>
      </c>
      <c r="Y600" s="43" t="str">
        <f t="shared" si="151"/>
        <v/>
      </c>
    </row>
    <row r="601" spans="1:25" hidden="1">
      <c r="A601" s="155">
        <v>870000</v>
      </c>
      <c r="B601" s="156" t="s">
        <v>242</v>
      </c>
      <c r="C601" s="411" t="s">
        <v>652</v>
      </c>
      <c r="D601" s="351"/>
      <c r="E601" s="405"/>
      <c r="F601" s="406"/>
      <c r="G601" s="158"/>
      <c r="H601" s="465">
        <v>19.16</v>
      </c>
      <c r="I601" s="465">
        <f t="shared" ref="I601:I604" si="182">IF(ISBLANK(H601),"",SUM(G601:H601))</f>
        <v>19.16</v>
      </c>
      <c r="J601" s="407">
        <f t="shared" si="181"/>
        <v>24.29</v>
      </c>
      <c r="K601" s="408" t="s">
        <v>23</v>
      </c>
      <c r="L601" s="152">
        <v>0</v>
      </c>
      <c r="M601" s="152"/>
      <c r="N601" s="402">
        <f t="shared" si="176"/>
        <v>0</v>
      </c>
      <c r="O601" s="402">
        <f t="shared" si="177"/>
        <v>0</v>
      </c>
      <c r="P601" s="403"/>
      <c r="Q601" s="152">
        <f t="shared" si="178"/>
        <v>0</v>
      </c>
      <c r="R601" s="152">
        <f t="shared" si="178"/>
        <v>0</v>
      </c>
      <c r="S601" s="402">
        <f t="shared" si="179"/>
        <v>0</v>
      </c>
      <c r="T601" s="404">
        <f t="shared" si="180"/>
        <v>0</v>
      </c>
      <c r="U601" s="403"/>
      <c r="W601" s="43" t="str">
        <f t="shared" si="172"/>
        <v/>
      </c>
      <c r="X601" s="43" t="str">
        <f t="shared" si="146"/>
        <v/>
      </c>
      <c r="Y601" s="43" t="str">
        <f t="shared" si="151"/>
        <v/>
      </c>
    </row>
    <row r="602" spans="1:25" hidden="1">
      <c r="A602" s="155">
        <v>873000</v>
      </c>
      <c r="B602" s="156" t="s">
        <v>242</v>
      </c>
      <c r="C602" s="411" t="s">
        <v>653</v>
      </c>
      <c r="D602" s="351"/>
      <c r="E602" s="405"/>
      <c r="F602" s="406"/>
      <c r="G602" s="158"/>
      <c r="H602" s="465">
        <v>29.94</v>
      </c>
      <c r="I602" s="465">
        <f t="shared" si="182"/>
        <v>29.94</v>
      </c>
      <c r="J602" s="407">
        <f t="shared" si="181"/>
        <v>37.96</v>
      </c>
      <c r="K602" s="408" t="s">
        <v>23</v>
      </c>
      <c r="L602" s="152">
        <v>0</v>
      </c>
      <c r="M602" s="152"/>
      <c r="N602" s="402">
        <f t="shared" si="176"/>
        <v>0</v>
      </c>
      <c r="O602" s="402">
        <f t="shared" si="177"/>
        <v>0</v>
      </c>
      <c r="P602" s="403"/>
      <c r="Q602" s="152">
        <f t="shared" si="178"/>
        <v>0</v>
      </c>
      <c r="R602" s="152">
        <f t="shared" si="178"/>
        <v>0</v>
      </c>
      <c r="S602" s="402">
        <f t="shared" si="179"/>
        <v>0</v>
      </c>
      <c r="T602" s="404">
        <f t="shared" si="180"/>
        <v>0</v>
      </c>
      <c r="U602" s="403"/>
      <c r="W602" s="43" t="str">
        <f t="shared" si="172"/>
        <v/>
      </c>
      <c r="X602" s="43" t="str">
        <f t="shared" si="146"/>
        <v/>
      </c>
      <c r="Y602" s="43" t="str">
        <f t="shared" si="151"/>
        <v/>
      </c>
    </row>
    <row r="603" spans="1:25" hidden="1">
      <c r="A603" s="155">
        <v>872000</v>
      </c>
      <c r="B603" s="156" t="s">
        <v>242</v>
      </c>
      <c r="C603" s="411" t="s">
        <v>654</v>
      </c>
      <c r="D603" s="351"/>
      <c r="E603" s="405"/>
      <c r="F603" s="406"/>
      <c r="G603" s="158"/>
      <c r="H603" s="465">
        <v>29.44</v>
      </c>
      <c r="I603" s="465">
        <f t="shared" si="182"/>
        <v>29.44</v>
      </c>
      <c r="J603" s="407">
        <f t="shared" si="181"/>
        <v>37.33</v>
      </c>
      <c r="K603" s="408" t="s">
        <v>23</v>
      </c>
      <c r="L603" s="152">
        <v>0</v>
      </c>
      <c r="M603" s="152"/>
      <c r="N603" s="402">
        <f t="shared" si="176"/>
        <v>0</v>
      </c>
      <c r="O603" s="402">
        <f t="shared" si="177"/>
        <v>0</v>
      </c>
      <c r="P603" s="403"/>
      <c r="Q603" s="152">
        <f t="shared" si="178"/>
        <v>0</v>
      </c>
      <c r="R603" s="152">
        <f t="shared" si="178"/>
        <v>0</v>
      </c>
      <c r="S603" s="402">
        <f t="shared" si="179"/>
        <v>0</v>
      </c>
      <c r="T603" s="404">
        <f t="shared" si="180"/>
        <v>0</v>
      </c>
      <c r="U603" s="403"/>
      <c r="W603" s="43" t="str">
        <f t="shared" si="172"/>
        <v/>
      </c>
      <c r="X603" s="43" t="str">
        <f t="shared" si="146"/>
        <v/>
      </c>
      <c r="Y603" s="43" t="str">
        <f t="shared" si="151"/>
        <v/>
      </c>
    </row>
    <row r="604" spans="1:25">
      <c r="A604" s="155">
        <v>822000</v>
      </c>
      <c r="B604" s="156" t="s">
        <v>242</v>
      </c>
      <c r="C604" s="411" t="s">
        <v>650</v>
      </c>
      <c r="D604" s="351"/>
      <c r="E604" s="405"/>
      <c r="F604" s="406"/>
      <c r="G604" s="158"/>
      <c r="H604" s="465">
        <v>19.86</v>
      </c>
      <c r="I604" s="465">
        <f t="shared" si="182"/>
        <v>19.86</v>
      </c>
      <c r="J604" s="407">
        <f t="shared" si="181"/>
        <v>25.18</v>
      </c>
      <c r="K604" s="408" t="s">
        <v>18</v>
      </c>
      <c r="L604" s="152">
        <v>315.7</v>
      </c>
      <c r="M604" s="152">
        <v>25.18</v>
      </c>
      <c r="N604" s="402">
        <f t="shared" si="176"/>
        <v>7949.33</v>
      </c>
      <c r="O604" s="402">
        <f t="shared" si="177"/>
        <v>7949.33</v>
      </c>
      <c r="P604" s="403"/>
      <c r="Q604" s="152">
        <f t="shared" si="178"/>
        <v>315.7</v>
      </c>
      <c r="R604" s="152">
        <v>25.18</v>
      </c>
      <c r="S604" s="402">
        <f t="shared" si="179"/>
        <v>7949.33</v>
      </c>
      <c r="T604" s="404">
        <f t="shared" si="180"/>
        <v>7949.33</v>
      </c>
      <c r="U604" s="403"/>
      <c r="V604" s="160" t="s">
        <v>200</v>
      </c>
      <c r="W604" s="43" t="str">
        <f t="shared" si="172"/>
        <v>x</v>
      </c>
      <c r="X604" s="43" t="str">
        <f t="shared" si="146"/>
        <v>x</v>
      </c>
      <c r="Y604" s="43" t="str">
        <f t="shared" si="151"/>
        <v>x</v>
      </c>
    </row>
    <row r="605" spans="1:25">
      <c r="A605" s="155">
        <v>820000</v>
      </c>
      <c r="B605" s="156" t="s">
        <v>242</v>
      </c>
      <c r="C605" s="411" t="s">
        <v>405</v>
      </c>
      <c r="D605" s="351"/>
      <c r="E605" s="405"/>
      <c r="F605" s="406"/>
      <c r="G605" s="158"/>
      <c r="H605" s="465">
        <v>320.85000000000002</v>
      </c>
      <c r="I605" s="465">
        <f>IF(ISBLANK(H605),"",SUM(G605:H605))</f>
        <v>320.85000000000002</v>
      </c>
      <c r="J605" s="407">
        <f t="shared" si="181"/>
        <v>406.84</v>
      </c>
      <c r="K605" s="408" t="s">
        <v>18</v>
      </c>
      <c r="L605" s="152">
        <v>1.6</v>
      </c>
      <c r="M605" s="152">
        <v>400</v>
      </c>
      <c r="N605" s="402">
        <f t="shared" si="176"/>
        <v>650.94000000000005</v>
      </c>
      <c r="O605" s="402">
        <f t="shared" si="177"/>
        <v>640</v>
      </c>
      <c r="P605" s="403"/>
      <c r="Q605" s="152">
        <f t="shared" si="178"/>
        <v>1.6</v>
      </c>
      <c r="R605" s="152">
        <v>400</v>
      </c>
      <c r="S605" s="402">
        <f t="shared" si="179"/>
        <v>650.94000000000005</v>
      </c>
      <c r="T605" s="404">
        <f t="shared" si="180"/>
        <v>640</v>
      </c>
      <c r="U605" s="403"/>
      <c r="V605" s="160" t="s">
        <v>200</v>
      </c>
      <c r="W605" s="43" t="str">
        <f t="shared" si="172"/>
        <v>x</v>
      </c>
      <c r="X605" s="43" t="str">
        <f t="shared" si="146"/>
        <v>x</v>
      </c>
      <c r="Y605" s="43" t="str">
        <f t="shared" si="151"/>
        <v>x</v>
      </c>
    </row>
    <row r="606" spans="1:25" hidden="1">
      <c r="A606" s="155">
        <v>821000</v>
      </c>
      <c r="B606" s="156" t="s">
        <v>242</v>
      </c>
      <c r="C606" s="411" t="s">
        <v>406</v>
      </c>
      <c r="D606" s="351"/>
      <c r="E606" s="405"/>
      <c r="F606" s="406"/>
      <c r="G606" s="158"/>
      <c r="H606" s="465">
        <v>103.14</v>
      </c>
      <c r="I606" s="465">
        <f>IF(ISBLANK(H606),"",SUM(G606:H606))</f>
        <v>103.14</v>
      </c>
      <c r="J606" s="407">
        <f t="shared" si="181"/>
        <v>130.78</v>
      </c>
      <c r="K606" s="408" t="s">
        <v>23</v>
      </c>
      <c r="L606" s="152">
        <v>0</v>
      </c>
      <c r="M606" s="152"/>
      <c r="N606" s="402">
        <f t="shared" si="176"/>
        <v>0</v>
      </c>
      <c r="O606" s="402">
        <f t="shared" si="177"/>
        <v>0</v>
      </c>
      <c r="P606" s="403"/>
      <c r="Q606" s="152">
        <f t="shared" si="178"/>
        <v>0</v>
      </c>
      <c r="R606" s="152">
        <f t="shared" si="178"/>
        <v>0</v>
      </c>
      <c r="S606" s="402">
        <f t="shared" si="179"/>
        <v>0</v>
      </c>
      <c r="T606" s="404">
        <f t="shared" si="180"/>
        <v>0</v>
      </c>
      <c r="U606" s="403"/>
      <c r="W606" s="43" t="str">
        <f t="shared" si="172"/>
        <v/>
      </c>
      <c r="X606" s="43" t="str">
        <f t="shared" si="146"/>
        <v/>
      </c>
      <c r="Y606" s="43" t="str">
        <f t="shared" si="151"/>
        <v/>
      </c>
    </row>
    <row r="607" spans="1:25">
      <c r="A607" s="155">
        <v>821300</v>
      </c>
      <c r="B607" s="156" t="s">
        <v>242</v>
      </c>
      <c r="C607" s="411" t="s">
        <v>407</v>
      </c>
      <c r="D607" s="351"/>
      <c r="E607" s="405"/>
      <c r="F607" s="406"/>
      <c r="G607" s="158"/>
      <c r="H607" s="465">
        <v>449.99</v>
      </c>
      <c r="I607" s="465">
        <f t="shared" ref="I607" si="183">IF(ISBLANK(H607),"",SUM(G607:H607))</f>
        <v>449.99</v>
      </c>
      <c r="J607" s="407">
        <f t="shared" si="181"/>
        <v>570.59</v>
      </c>
      <c r="K607" s="408" t="s">
        <v>23</v>
      </c>
      <c r="L607" s="152">
        <v>14</v>
      </c>
      <c r="M607" s="152">
        <v>560.49</v>
      </c>
      <c r="N607" s="402">
        <f t="shared" si="176"/>
        <v>7988.26</v>
      </c>
      <c r="O607" s="402">
        <f t="shared" si="177"/>
        <v>7846.86</v>
      </c>
      <c r="P607" s="403"/>
      <c r="Q607" s="152">
        <f t="shared" ref="Q607:R615" si="184">L607</f>
        <v>14</v>
      </c>
      <c r="R607" s="152">
        <f t="shared" si="184"/>
        <v>560.49</v>
      </c>
      <c r="S607" s="402">
        <f t="shared" si="179"/>
        <v>7988.26</v>
      </c>
      <c r="T607" s="404">
        <f t="shared" si="180"/>
        <v>7846.86</v>
      </c>
      <c r="U607" s="403"/>
      <c r="V607" s="160" t="s">
        <v>200</v>
      </c>
      <c r="W607" s="43" t="str">
        <f t="shared" si="172"/>
        <v>x</v>
      </c>
      <c r="X607" s="43" t="str">
        <f t="shared" si="146"/>
        <v>x</v>
      </c>
      <c r="Y607" s="43" t="str">
        <f t="shared" si="151"/>
        <v>x</v>
      </c>
    </row>
    <row r="608" spans="1:25" hidden="1">
      <c r="A608" s="155" t="s">
        <v>421</v>
      </c>
      <c r="B608" s="156" t="s">
        <v>242</v>
      </c>
      <c r="C608" s="411" t="s">
        <v>408</v>
      </c>
      <c r="D608" s="351"/>
      <c r="E608" s="405"/>
      <c r="F608" s="406"/>
      <c r="G608" s="158"/>
      <c r="H608" s="465">
        <v>166.15494000000001</v>
      </c>
      <c r="I608" s="465">
        <f>IF(ISBLANK(H608),"",SUM(G608:H608))*0.85</f>
        <v>141.23169899999999</v>
      </c>
      <c r="J608" s="407">
        <f t="shared" si="181"/>
        <v>179.08</v>
      </c>
      <c r="K608" s="408" t="s">
        <v>23</v>
      </c>
      <c r="L608" s="152">
        <v>0</v>
      </c>
      <c r="M608" s="152"/>
      <c r="N608" s="402">
        <f t="shared" si="176"/>
        <v>0</v>
      </c>
      <c r="O608" s="402">
        <f t="shared" si="177"/>
        <v>0</v>
      </c>
      <c r="P608" s="403"/>
      <c r="Q608" s="152">
        <f t="shared" si="184"/>
        <v>0</v>
      </c>
      <c r="R608" s="152">
        <f t="shared" si="184"/>
        <v>0</v>
      </c>
      <c r="S608" s="402">
        <f t="shared" si="179"/>
        <v>0</v>
      </c>
      <c r="T608" s="404">
        <f t="shared" si="180"/>
        <v>0</v>
      </c>
      <c r="U608" s="403"/>
      <c r="W608" s="43" t="str">
        <f t="shared" si="172"/>
        <v/>
      </c>
      <c r="X608" s="43" t="str">
        <f t="shared" si="146"/>
        <v/>
      </c>
      <c r="Y608" s="43" t="str">
        <f t="shared" si="151"/>
        <v/>
      </c>
    </row>
    <row r="609" spans="1:25" hidden="1">
      <c r="A609" s="155" t="s">
        <v>422</v>
      </c>
      <c r="B609" s="156" t="s">
        <v>242</v>
      </c>
      <c r="C609" s="411" t="s">
        <v>409</v>
      </c>
      <c r="D609" s="351"/>
      <c r="E609" s="405"/>
      <c r="F609" s="406"/>
      <c r="G609" s="158"/>
      <c r="H609" s="465">
        <v>142.25161500000002</v>
      </c>
      <c r="I609" s="465">
        <f>IF(ISBLANK(H609),"",SUM(G609:H609))*0.85</f>
        <v>120.91387275000001</v>
      </c>
      <c r="J609" s="407">
        <f t="shared" si="181"/>
        <v>153.32</v>
      </c>
      <c r="K609" s="408" t="s">
        <v>23</v>
      </c>
      <c r="L609" s="152">
        <v>0</v>
      </c>
      <c r="M609" s="152"/>
      <c r="N609" s="402">
        <f t="shared" si="176"/>
        <v>0</v>
      </c>
      <c r="O609" s="402">
        <f t="shared" si="177"/>
        <v>0</v>
      </c>
      <c r="P609" s="403"/>
      <c r="Q609" s="152">
        <f t="shared" si="184"/>
        <v>0</v>
      </c>
      <c r="R609" s="152">
        <f t="shared" si="184"/>
        <v>0</v>
      </c>
      <c r="S609" s="402">
        <f t="shared" si="179"/>
        <v>0</v>
      </c>
      <c r="T609" s="404">
        <f t="shared" si="180"/>
        <v>0</v>
      </c>
      <c r="U609" s="403"/>
      <c r="W609" s="43" t="str">
        <f t="shared" si="172"/>
        <v/>
      </c>
      <c r="X609" s="43" t="str">
        <f t="shared" si="146"/>
        <v/>
      </c>
      <c r="Y609" s="43" t="str">
        <f t="shared" si="151"/>
        <v/>
      </c>
    </row>
    <row r="610" spans="1:25" hidden="1">
      <c r="A610" s="155" t="s">
        <v>423</v>
      </c>
      <c r="B610" s="156" t="s">
        <v>242</v>
      </c>
      <c r="C610" s="411" t="s">
        <v>410</v>
      </c>
      <c r="D610" s="351"/>
      <c r="E610" s="405"/>
      <c r="F610" s="406"/>
      <c r="G610" s="158"/>
      <c r="H610" s="465">
        <v>172.4436</v>
      </c>
      <c r="I610" s="465">
        <f>IF(ISBLANK(H610),"",SUM(G610:H610))*0.85</f>
        <v>146.57705999999999</v>
      </c>
      <c r="J610" s="407">
        <f t="shared" si="181"/>
        <v>185.86</v>
      </c>
      <c r="K610" s="408" t="s">
        <v>23</v>
      </c>
      <c r="L610" s="152">
        <v>0</v>
      </c>
      <c r="M610" s="152"/>
      <c r="N610" s="402">
        <f t="shared" si="176"/>
        <v>0</v>
      </c>
      <c r="O610" s="402">
        <f t="shared" si="177"/>
        <v>0</v>
      </c>
      <c r="P610" s="403"/>
      <c r="Q610" s="152">
        <f t="shared" si="184"/>
        <v>0</v>
      </c>
      <c r="R610" s="152">
        <f t="shared" si="184"/>
        <v>0</v>
      </c>
      <c r="S610" s="402">
        <f t="shared" si="179"/>
        <v>0</v>
      </c>
      <c r="T610" s="404">
        <f t="shared" si="180"/>
        <v>0</v>
      </c>
      <c r="U610" s="403"/>
      <c r="W610" s="43" t="str">
        <f t="shared" si="172"/>
        <v/>
      </c>
      <c r="X610" s="43" t="str">
        <f t="shared" si="146"/>
        <v/>
      </c>
      <c r="Y610" s="43" t="str">
        <f t="shared" si="151"/>
        <v/>
      </c>
    </row>
    <row r="611" spans="1:25" hidden="1">
      <c r="A611" s="155" t="s">
        <v>424</v>
      </c>
      <c r="B611" s="156" t="s">
        <v>242</v>
      </c>
      <c r="C611" s="411" t="s">
        <v>411</v>
      </c>
      <c r="D611" s="351"/>
      <c r="E611" s="405"/>
      <c r="F611" s="406"/>
      <c r="G611" s="158"/>
      <c r="H611" s="465">
        <v>168.11212499999999</v>
      </c>
      <c r="I611" s="465">
        <f>IF(ISBLANK(H611),"",SUM(G611:H611))*0.85</f>
        <v>142.89530624999998</v>
      </c>
      <c r="J611" s="407">
        <f t="shared" si="181"/>
        <v>181.19</v>
      </c>
      <c r="K611" s="408" t="s">
        <v>23</v>
      </c>
      <c r="L611" s="152">
        <v>0</v>
      </c>
      <c r="M611" s="152"/>
      <c r="N611" s="402">
        <f t="shared" si="176"/>
        <v>0</v>
      </c>
      <c r="O611" s="402">
        <f t="shared" si="177"/>
        <v>0</v>
      </c>
      <c r="P611" s="403"/>
      <c r="Q611" s="152">
        <f t="shared" si="184"/>
        <v>0</v>
      </c>
      <c r="R611" s="152">
        <f t="shared" si="184"/>
        <v>0</v>
      </c>
      <c r="S611" s="402">
        <f t="shared" si="179"/>
        <v>0</v>
      </c>
      <c r="T611" s="404">
        <f t="shared" si="180"/>
        <v>0</v>
      </c>
      <c r="U611" s="403"/>
      <c r="W611" s="43" t="str">
        <f t="shared" si="172"/>
        <v/>
      </c>
      <c r="X611" s="43" t="str">
        <f t="shared" si="146"/>
        <v/>
      </c>
      <c r="Y611" s="43" t="str">
        <f t="shared" si="151"/>
        <v/>
      </c>
    </row>
    <row r="612" spans="1:25" hidden="1">
      <c r="A612" s="155" t="s">
        <v>425</v>
      </c>
      <c r="B612" s="156" t="s">
        <v>242</v>
      </c>
      <c r="C612" s="411" t="s">
        <v>412</v>
      </c>
      <c r="D612" s="351"/>
      <c r="E612" s="405"/>
      <c r="F612" s="406"/>
      <c r="G612" s="158"/>
      <c r="H612" s="465">
        <v>513.00494000000003</v>
      </c>
      <c r="I612" s="465">
        <f t="shared" ref="I612:I614" si="185">IF(ISBLANK(H612),"",SUM(G612:H612))</f>
        <v>513.00494000000003</v>
      </c>
      <c r="J612" s="407">
        <f t="shared" si="181"/>
        <v>650.49</v>
      </c>
      <c r="K612" s="408" t="s">
        <v>23</v>
      </c>
      <c r="L612" s="152">
        <v>0</v>
      </c>
      <c r="M612" s="152"/>
      <c r="N612" s="402">
        <f t="shared" si="176"/>
        <v>0</v>
      </c>
      <c r="O612" s="402">
        <f t="shared" si="177"/>
        <v>0</v>
      </c>
      <c r="P612" s="403"/>
      <c r="Q612" s="152">
        <f t="shared" si="184"/>
        <v>0</v>
      </c>
      <c r="R612" s="152">
        <f t="shared" si="184"/>
        <v>0</v>
      </c>
      <c r="S612" s="402">
        <f t="shared" si="179"/>
        <v>0</v>
      </c>
      <c r="T612" s="404">
        <f t="shared" si="180"/>
        <v>0</v>
      </c>
      <c r="U612" s="403"/>
      <c r="W612" s="43" t="str">
        <f t="shared" si="172"/>
        <v/>
      </c>
      <c r="X612" s="43" t="str">
        <f t="shared" si="146"/>
        <v/>
      </c>
      <c r="Y612" s="43" t="str">
        <f t="shared" si="151"/>
        <v/>
      </c>
    </row>
    <row r="613" spans="1:25">
      <c r="A613" s="155" t="s">
        <v>426</v>
      </c>
      <c r="B613" s="156" t="s">
        <v>242</v>
      </c>
      <c r="C613" s="411" t="s">
        <v>413</v>
      </c>
      <c r="D613" s="351"/>
      <c r="E613" s="405"/>
      <c r="F613" s="406"/>
      <c r="G613" s="158"/>
      <c r="H613" s="465">
        <v>489.11444900000004</v>
      </c>
      <c r="I613" s="465">
        <f t="shared" si="185"/>
        <v>489.11444900000004</v>
      </c>
      <c r="J613" s="407">
        <f t="shared" si="181"/>
        <v>620.20000000000005</v>
      </c>
      <c r="K613" s="408" t="s">
        <v>23</v>
      </c>
      <c r="L613" s="152">
        <v>8</v>
      </c>
      <c r="M613" s="152">
        <v>620.20000000000005</v>
      </c>
      <c r="N613" s="402">
        <f t="shared" si="176"/>
        <v>4961.6000000000004</v>
      </c>
      <c r="O613" s="402">
        <f t="shared" si="177"/>
        <v>4961.6000000000004</v>
      </c>
      <c r="P613" s="403"/>
      <c r="Q613" s="152">
        <f t="shared" si="184"/>
        <v>8</v>
      </c>
      <c r="R613" s="152">
        <f t="shared" si="184"/>
        <v>620.20000000000005</v>
      </c>
      <c r="S613" s="402">
        <f t="shared" si="179"/>
        <v>4961.6000000000004</v>
      </c>
      <c r="T613" s="404">
        <f t="shared" si="180"/>
        <v>4961.6000000000004</v>
      </c>
      <c r="U613" s="403"/>
      <c r="W613" s="43" t="str">
        <f t="shared" si="172"/>
        <v>x</v>
      </c>
      <c r="X613" s="43" t="str">
        <f t="shared" si="146"/>
        <v>x</v>
      </c>
      <c r="Y613" s="43" t="str">
        <f t="shared" si="151"/>
        <v>x</v>
      </c>
    </row>
    <row r="614" spans="1:25" hidden="1">
      <c r="A614" s="155" t="s">
        <v>427</v>
      </c>
      <c r="B614" s="156" t="s">
        <v>242</v>
      </c>
      <c r="C614" s="411" t="s">
        <v>414</v>
      </c>
      <c r="D614" s="351"/>
      <c r="E614" s="405"/>
      <c r="F614" s="406"/>
      <c r="G614" s="158"/>
      <c r="H614" s="465">
        <v>519.29359999999997</v>
      </c>
      <c r="I614" s="465">
        <f t="shared" si="185"/>
        <v>519.29359999999997</v>
      </c>
      <c r="J614" s="407">
        <f t="shared" si="181"/>
        <v>658.46</v>
      </c>
      <c r="K614" s="408" t="s">
        <v>23</v>
      </c>
      <c r="L614" s="152">
        <v>0</v>
      </c>
      <c r="M614" s="152"/>
      <c r="N614" s="402">
        <f t="shared" si="176"/>
        <v>0</v>
      </c>
      <c r="O614" s="402">
        <f t="shared" si="177"/>
        <v>0</v>
      </c>
      <c r="P614" s="403"/>
      <c r="Q614" s="152">
        <f t="shared" si="184"/>
        <v>0</v>
      </c>
      <c r="R614" s="152">
        <f t="shared" si="184"/>
        <v>0</v>
      </c>
      <c r="S614" s="402">
        <f t="shared" si="179"/>
        <v>0</v>
      </c>
      <c r="T614" s="404">
        <f t="shared" si="180"/>
        <v>0</v>
      </c>
      <c r="U614" s="403"/>
      <c r="W614" s="43" t="str">
        <f t="shared" si="172"/>
        <v/>
      </c>
      <c r="X614" s="43" t="str">
        <f t="shared" si="146"/>
        <v/>
      </c>
      <c r="Y614" s="43" t="str">
        <f t="shared" si="151"/>
        <v/>
      </c>
    </row>
    <row r="615" spans="1:25" hidden="1">
      <c r="A615" s="155" t="s">
        <v>428</v>
      </c>
      <c r="B615" s="156" t="s">
        <v>242</v>
      </c>
      <c r="C615" s="411" t="s">
        <v>415</v>
      </c>
      <c r="D615" s="351"/>
      <c r="E615" s="405"/>
      <c r="F615" s="406"/>
      <c r="G615" s="158"/>
      <c r="H615" s="465">
        <v>514.96212500000001</v>
      </c>
      <c r="I615" s="465">
        <f t="shared" ref="I615" si="186">IF(ISBLANK(H615),"",SUM(G615:H615))</f>
        <v>514.96212500000001</v>
      </c>
      <c r="J615" s="407">
        <f t="shared" si="181"/>
        <v>652.97</v>
      </c>
      <c r="K615" s="408" t="s">
        <v>23</v>
      </c>
      <c r="L615" s="152">
        <v>0</v>
      </c>
      <c r="M615" s="204"/>
      <c r="N615" s="402">
        <f t="shared" si="176"/>
        <v>0</v>
      </c>
      <c r="O615" s="404">
        <f t="shared" si="177"/>
        <v>0</v>
      </c>
      <c r="P615" s="403"/>
      <c r="Q615" s="205">
        <f t="shared" si="184"/>
        <v>0</v>
      </c>
      <c r="R615" s="204">
        <f t="shared" si="184"/>
        <v>0</v>
      </c>
      <c r="S615" s="402">
        <f t="shared" si="179"/>
        <v>0</v>
      </c>
      <c r="T615" s="404">
        <f t="shared" si="180"/>
        <v>0</v>
      </c>
      <c r="U615" s="403"/>
      <c r="W615" s="43" t="str">
        <f t="shared" si="172"/>
        <v/>
      </c>
      <c r="X615" s="43" t="str">
        <f t="shared" si="146"/>
        <v/>
      </c>
      <c r="Y615" s="43" t="str">
        <f t="shared" si="151"/>
        <v/>
      </c>
    </row>
    <row r="616" spans="1:25" hidden="1">
      <c r="A616" s="400" t="s">
        <v>217</v>
      </c>
      <c r="B616" s="206"/>
      <c r="C616" s="344" t="s">
        <v>605</v>
      </c>
      <c r="D616" s="185"/>
      <c r="E616" s="207"/>
      <c r="F616" s="208"/>
      <c r="G616" s="209"/>
      <c r="H616" s="210"/>
      <c r="I616" s="210"/>
      <c r="J616" s="210"/>
      <c r="K616" s="210" t="s">
        <v>1029</v>
      </c>
      <c r="L616" s="152">
        <v>0</v>
      </c>
      <c r="M616" s="210"/>
      <c r="N616" s="210"/>
      <c r="O616" s="211"/>
      <c r="P616" s="403"/>
      <c r="Q616" s="209"/>
      <c r="R616" s="210"/>
      <c r="S616" s="210"/>
      <c r="T616" s="211"/>
      <c r="U616" s="403"/>
      <c r="V616" s="144" t="str">
        <f>IF(OR(SUM(O617:O648)&gt;0,SUM(T617:T648)&gt;0),"y","")</f>
        <v/>
      </c>
      <c r="W616" s="43" t="str">
        <f t="shared" si="172"/>
        <v/>
      </c>
      <c r="X616" s="43" t="str">
        <f t="shared" si="146"/>
        <v/>
      </c>
      <c r="Y616" s="43" t="str">
        <f t="shared" si="151"/>
        <v/>
      </c>
    </row>
    <row r="617" spans="1:25" hidden="1">
      <c r="A617" s="397" t="s">
        <v>217</v>
      </c>
      <c r="B617" s="165" t="s">
        <v>217</v>
      </c>
      <c r="C617" s="203"/>
      <c r="D617" s="167"/>
      <c r="E617" s="168"/>
      <c r="F617" s="169"/>
      <c r="G617" s="170"/>
      <c r="H617" s="171"/>
      <c r="I617" s="452"/>
      <c r="J617" s="453">
        <f t="shared" ref="J617:J648" si="187">IF(ISBLANK(I617),0,ROUND(I617*(1+$E$10)*(1+$E$11*D617),2))</f>
        <v>0</v>
      </c>
      <c r="K617" s="392" t="s">
        <v>1029</v>
      </c>
      <c r="L617" s="152">
        <v>0</v>
      </c>
      <c r="M617" s="204"/>
      <c r="N617" s="402">
        <f t="shared" ref="N617" si="188">IF(ISBLANK(L617),0,ROUND(J617*L617,2))</f>
        <v>0</v>
      </c>
      <c r="O617" s="404">
        <f t="shared" ref="O617:O648" si="189">IF(ISBLANK(M617),0,ROUND(L617*M617,2))</f>
        <v>0</v>
      </c>
      <c r="P617" s="403"/>
      <c r="Q617" s="205">
        <f t="shared" ref="Q617:R641" si="190">L617</f>
        <v>0</v>
      </c>
      <c r="R617" s="204">
        <f t="shared" si="190"/>
        <v>0</v>
      </c>
      <c r="S617" s="402">
        <f t="shared" ref="S617:S648" si="191">IF(ISBLANK(Q617),0,ROUND(J617*Q617,2))</f>
        <v>0</v>
      </c>
      <c r="T617" s="404">
        <f t="shared" ref="T617:T648" si="192">IF(ISBLANK(Q617),0,ROUND(Q617*R617,2))</f>
        <v>0</v>
      </c>
      <c r="U617" s="403"/>
      <c r="W617" s="43" t="str">
        <f t="shared" si="172"/>
        <v/>
      </c>
      <c r="X617" s="43" t="str">
        <f t="shared" si="146"/>
        <v/>
      </c>
      <c r="Y617" s="43" t="str">
        <f t="shared" si="151"/>
        <v/>
      </c>
    </row>
    <row r="618" spans="1:25" hidden="1">
      <c r="A618" s="397" t="s">
        <v>217</v>
      </c>
      <c r="B618" s="165" t="s">
        <v>217</v>
      </c>
      <c r="C618" s="166"/>
      <c r="D618" s="167"/>
      <c r="E618" s="168"/>
      <c r="F618" s="169"/>
      <c r="G618" s="170"/>
      <c r="H618" s="171"/>
      <c r="I618" s="452"/>
      <c r="J618" s="454">
        <f t="shared" si="187"/>
        <v>0</v>
      </c>
      <c r="K618" s="392" t="s">
        <v>1029</v>
      </c>
      <c r="L618" s="152">
        <v>0</v>
      </c>
      <c r="M618" s="152"/>
      <c r="N618" s="402">
        <f>IF(ISBLANK(L618),0,ROUND(J618*L618,2))</f>
        <v>0</v>
      </c>
      <c r="O618" s="402">
        <f t="shared" si="189"/>
        <v>0</v>
      </c>
      <c r="P618" s="403"/>
      <c r="Q618" s="152">
        <f t="shared" si="190"/>
        <v>0</v>
      </c>
      <c r="R618" s="152">
        <f t="shared" si="190"/>
        <v>0</v>
      </c>
      <c r="S618" s="402">
        <f t="shared" si="191"/>
        <v>0</v>
      </c>
      <c r="T618" s="164">
        <f t="shared" si="192"/>
        <v>0</v>
      </c>
      <c r="U618" s="403"/>
      <c r="W618" s="43" t="str">
        <f t="shared" si="172"/>
        <v/>
      </c>
      <c r="X618" s="43" t="str">
        <f t="shared" si="146"/>
        <v/>
      </c>
      <c r="Y618" s="43" t="str">
        <f t="shared" si="151"/>
        <v/>
      </c>
    </row>
    <row r="619" spans="1:25" hidden="1">
      <c r="A619" s="397" t="s">
        <v>217</v>
      </c>
      <c r="B619" s="165" t="s">
        <v>217</v>
      </c>
      <c r="C619" s="166"/>
      <c r="D619" s="167"/>
      <c r="E619" s="168"/>
      <c r="F619" s="169"/>
      <c r="G619" s="170"/>
      <c r="H619" s="171"/>
      <c r="I619" s="452"/>
      <c r="J619" s="454">
        <f t="shared" si="187"/>
        <v>0</v>
      </c>
      <c r="K619" s="392" t="s">
        <v>1029</v>
      </c>
      <c r="L619" s="152">
        <v>0</v>
      </c>
      <c r="M619" s="152"/>
      <c r="N619" s="402">
        <f t="shared" ref="N619:N648" si="193">IF(ISBLANK(L619),0,ROUND(J619*L619,2))</f>
        <v>0</v>
      </c>
      <c r="O619" s="402">
        <f t="shared" si="189"/>
        <v>0</v>
      </c>
      <c r="P619" s="403"/>
      <c r="Q619" s="152">
        <f t="shared" si="190"/>
        <v>0</v>
      </c>
      <c r="R619" s="152">
        <f t="shared" si="190"/>
        <v>0</v>
      </c>
      <c r="S619" s="402">
        <f t="shared" si="191"/>
        <v>0</v>
      </c>
      <c r="T619" s="404">
        <f t="shared" si="192"/>
        <v>0</v>
      </c>
      <c r="U619" s="403"/>
      <c r="W619" s="43" t="str">
        <f t="shared" si="172"/>
        <v/>
      </c>
      <c r="X619" s="43" t="str">
        <f t="shared" si="146"/>
        <v/>
      </c>
      <c r="Y619" s="43" t="str">
        <f t="shared" si="151"/>
        <v/>
      </c>
    </row>
    <row r="620" spans="1:25" hidden="1">
      <c r="A620" s="397" t="s">
        <v>217</v>
      </c>
      <c r="B620" s="165" t="s">
        <v>217</v>
      </c>
      <c r="C620" s="166"/>
      <c r="D620" s="167"/>
      <c r="E620" s="168"/>
      <c r="F620" s="169"/>
      <c r="G620" s="170"/>
      <c r="H620" s="171"/>
      <c r="I620" s="452"/>
      <c r="J620" s="454">
        <f t="shared" si="187"/>
        <v>0</v>
      </c>
      <c r="K620" s="392" t="s">
        <v>1029</v>
      </c>
      <c r="L620" s="152">
        <v>0</v>
      </c>
      <c r="M620" s="152"/>
      <c r="N620" s="402">
        <f t="shared" si="193"/>
        <v>0</v>
      </c>
      <c r="O620" s="402">
        <f t="shared" si="189"/>
        <v>0</v>
      </c>
      <c r="P620" s="403"/>
      <c r="Q620" s="152">
        <f t="shared" si="190"/>
        <v>0</v>
      </c>
      <c r="R620" s="152">
        <f t="shared" si="190"/>
        <v>0</v>
      </c>
      <c r="S620" s="402">
        <f t="shared" si="191"/>
        <v>0</v>
      </c>
      <c r="T620" s="404">
        <f t="shared" si="192"/>
        <v>0</v>
      </c>
      <c r="U620" s="403"/>
      <c r="W620" s="43" t="str">
        <f t="shared" si="172"/>
        <v/>
      </c>
      <c r="X620" s="43" t="str">
        <f t="shared" si="146"/>
        <v/>
      </c>
      <c r="Y620" s="43" t="str">
        <f t="shared" si="151"/>
        <v/>
      </c>
    </row>
    <row r="621" spans="1:25" hidden="1">
      <c r="A621" s="397" t="s">
        <v>217</v>
      </c>
      <c r="B621" s="165" t="s">
        <v>217</v>
      </c>
      <c r="C621" s="166"/>
      <c r="D621" s="167"/>
      <c r="E621" s="168"/>
      <c r="F621" s="169"/>
      <c r="G621" s="170"/>
      <c r="H621" s="171"/>
      <c r="I621" s="452"/>
      <c r="J621" s="454">
        <f t="shared" si="187"/>
        <v>0</v>
      </c>
      <c r="K621" s="392" t="s">
        <v>1029</v>
      </c>
      <c r="L621" s="152">
        <v>0</v>
      </c>
      <c r="M621" s="152"/>
      <c r="N621" s="402">
        <f t="shared" si="193"/>
        <v>0</v>
      </c>
      <c r="O621" s="402">
        <f t="shared" si="189"/>
        <v>0</v>
      </c>
      <c r="P621" s="403"/>
      <c r="Q621" s="152">
        <f t="shared" si="190"/>
        <v>0</v>
      </c>
      <c r="R621" s="152">
        <f t="shared" si="190"/>
        <v>0</v>
      </c>
      <c r="S621" s="402">
        <f t="shared" si="191"/>
        <v>0</v>
      </c>
      <c r="T621" s="404">
        <f t="shared" si="192"/>
        <v>0</v>
      </c>
      <c r="U621" s="403"/>
      <c r="W621" s="43" t="str">
        <f t="shared" si="172"/>
        <v/>
      </c>
      <c r="X621" s="43" t="str">
        <f t="shared" si="146"/>
        <v/>
      </c>
      <c r="Y621" s="43" t="str">
        <f t="shared" si="151"/>
        <v/>
      </c>
    </row>
    <row r="622" spans="1:25" hidden="1">
      <c r="A622" s="397" t="s">
        <v>217</v>
      </c>
      <c r="B622" s="165" t="s">
        <v>217</v>
      </c>
      <c r="C622" s="166"/>
      <c r="D622" s="167"/>
      <c r="E622" s="168"/>
      <c r="F622" s="169"/>
      <c r="G622" s="170"/>
      <c r="H622" s="171"/>
      <c r="I622" s="452"/>
      <c r="J622" s="454">
        <f t="shared" si="187"/>
        <v>0</v>
      </c>
      <c r="K622" s="392" t="s">
        <v>1029</v>
      </c>
      <c r="L622" s="152">
        <v>0</v>
      </c>
      <c r="M622" s="152"/>
      <c r="N622" s="402">
        <f t="shared" si="193"/>
        <v>0</v>
      </c>
      <c r="O622" s="402">
        <f t="shared" si="189"/>
        <v>0</v>
      </c>
      <c r="P622" s="403"/>
      <c r="Q622" s="152">
        <f t="shared" si="190"/>
        <v>0</v>
      </c>
      <c r="R622" s="152">
        <f t="shared" si="190"/>
        <v>0</v>
      </c>
      <c r="S622" s="402">
        <f t="shared" si="191"/>
        <v>0</v>
      </c>
      <c r="T622" s="404">
        <f t="shared" si="192"/>
        <v>0</v>
      </c>
      <c r="U622" s="403"/>
      <c r="W622" s="43" t="str">
        <f t="shared" si="172"/>
        <v/>
      </c>
      <c r="X622" s="43" t="str">
        <f t="shared" si="146"/>
        <v/>
      </c>
      <c r="Y622" s="43" t="str">
        <f t="shared" si="151"/>
        <v/>
      </c>
    </row>
    <row r="623" spans="1:25" hidden="1">
      <c r="A623" s="397" t="s">
        <v>217</v>
      </c>
      <c r="B623" s="165" t="s">
        <v>217</v>
      </c>
      <c r="C623" s="166"/>
      <c r="D623" s="167"/>
      <c r="E623" s="168"/>
      <c r="F623" s="169"/>
      <c r="G623" s="170"/>
      <c r="H623" s="171"/>
      <c r="I623" s="452"/>
      <c r="J623" s="454">
        <f t="shared" si="187"/>
        <v>0</v>
      </c>
      <c r="K623" s="392" t="s">
        <v>1029</v>
      </c>
      <c r="L623" s="152">
        <v>0</v>
      </c>
      <c r="M623" s="152"/>
      <c r="N623" s="402">
        <f t="shared" si="193"/>
        <v>0</v>
      </c>
      <c r="O623" s="402">
        <f t="shared" si="189"/>
        <v>0</v>
      </c>
      <c r="P623" s="403"/>
      <c r="Q623" s="152">
        <f t="shared" si="190"/>
        <v>0</v>
      </c>
      <c r="R623" s="152">
        <f t="shared" si="190"/>
        <v>0</v>
      </c>
      <c r="S623" s="402">
        <f t="shared" si="191"/>
        <v>0</v>
      </c>
      <c r="T623" s="404">
        <f t="shared" si="192"/>
        <v>0</v>
      </c>
      <c r="U623" s="403"/>
      <c r="W623" s="43" t="str">
        <f t="shared" ref="W623:W686" si="194">IF(V623="X","x",IF(V623="xx","x",IF(V623="xy","x",IF(V623="y","x",IF(OR(O623&gt;0,T623&gt;0),"x","")))))</f>
        <v/>
      </c>
      <c r="X623" s="43" t="str">
        <f t="shared" si="146"/>
        <v/>
      </c>
      <c r="Y623" s="43" t="str">
        <f t="shared" si="151"/>
        <v/>
      </c>
    </row>
    <row r="624" spans="1:25" hidden="1">
      <c r="A624" s="397" t="s">
        <v>217</v>
      </c>
      <c r="B624" s="165" t="s">
        <v>217</v>
      </c>
      <c r="C624" s="166"/>
      <c r="D624" s="167"/>
      <c r="E624" s="168"/>
      <c r="F624" s="169"/>
      <c r="G624" s="170"/>
      <c r="H624" s="171"/>
      <c r="I624" s="452"/>
      <c r="J624" s="454">
        <f t="shared" si="187"/>
        <v>0</v>
      </c>
      <c r="K624" s="392" t="s">
        <v>1029</v>
      </c>
      <c r="L624" s="152">
        <v>0</v>
      </c>
      <c r="M624" s="152"/>
      <c r="N624" s="402">
        <f t="shared" si="193"/>
        <v>0</v>
      </c>
      <c r="O624" s="402">
        <f t="shared" si="189"/>
        <v>0</v>
      </c>
      <c r="P624" s="403"/>
      <c r="Q624" s="152">
        <f t="shared" si="190"/>
        <v>0</v>
      </c>
      <c r="R624" s="152">
        <f t="shared" si="190"/>
        <v>0</v>
      </c>
      <c r="S624" s="402">
        <f t="shared" si="191"/>
        <v>0</v>
      </c>
      <c r="T624" s="404">
        <f t="shared" si="192"/>
        <v>0</v>
      </c>
      <c r="U624" s="403"/>
      <c r="W624" s="43" t="str">
        <f t="shared" si="194"/>
        <v/>
      </c>
      <c r="X624" s="43" t="str">
        <f t="shared" si="146"/>
        <v/>
      </c>
      <c r="Y624" s="43" t="str">
        <f t="shared" si="151"/>
        <v/>
      </c>
    </row>
    <row r="625" spans="1:25" hidden="1">
      <c r="A625" s="397" t="s">
        <v>217</v>
      </c>
      <c r="B625" s="165" t="s">
        <v>217</v>
      </c>
      <c r="C625" s="166"/>
      <c r="D625" s="167"/>
      <c r="E625" s="168"/>
      <c r="F625" s="169"/>
      <c r="G625" s="170"/>
      <c r="H625" s="171"/>
      <c r="I625" s="452"/>
      <c r="J625" s="454">
        <f t="shared" si="187"/>
        <v>0</v>
      </c>
      <c r="K625" s="392" t="s">
        <v>1029</v>
      </c>
      <c r="L625" s="152">
        <v>0</v>
      </c>
      <c r="M625" s="152"/>
      <c r="N625" s="402">
        <f t="shared" si="193"/>
        <v>0</v>
      </c>
      <c r="O625" s="402">
        <f t="shared" si="189"/>
        <v>0</v>
      </c>
      <c r="P625" s="403"/>
      <c r="Q625" s="152">
        <f t="shared" si="190"/>
        <v>0</v>
      </c>
      <c r="R625" s="152">
        <f t="shared" si="190"/>
        <v>0</v>
      </c>
      <c r="S625" s="402">
        <f t="shared" si="191"/>
        <v>0</v>
      </c>
      <c r="T625" s="404">
        <f t="shared" si="192"/>
        <v>0</v>
      </c>
      <c r="U625" s="403"/>
      <c r="W625" s="43" t="str">
        <f t="shared" si="194"/>
        <v/>
      </c>
      <c r="X625" s="43" t="str">
        <f t="shared" si="146"/>
        <v/>
      </c>
      <c r="Y625" s="43" t="str">
        <f t="shared" si="151"/>
        <v/>
      </c>
    </row>
    <row r="626" spans="1:25" hidden="1">
      <c r="A626" s="397" t="s">
        <v>217</v>
      </c>
      <c r="B626" s="165" t="s">
        <v>217</v>
      </c>
      <c r="C626" s="166"/>
      <c r="D626" s="167"/>
      <c r="E626" s="168"/>
      <c r="F626" s="169"/>
      <c r="G626" s="170"/>
      <c r="H626" s="171"/>
      <c r="I626" s="452"/>
      <c r="J626" s="454">
        <f t="shared" si="187"/>
        <v>0</v>
      </c>
      <c r="K626" s="392" t="s">
        <v>1029</v>
      </c>
      <c r="L626" s="152">
        <v>0</v>
      </c>
      <c r="M626" s="152"/>
      <c r="N626" s="402">
        <f t="shared" si="193"/>
        <v>0</v>
      </c>
      <c r="O626" s="402">
        <f t="shared" si="189"/>
        <v>0</v>
      </c>
      <c r="P626" s="403"/>
      <c r="Q626" s="152">
        <f t="shared" si="190"/>
        <v>0</v>
      </c>
      <c r="R626" s="152">
        <f t="shared" si="190"/>
        <v>0</v>
      </c>
      <c r="S626" s="402">
        <f t="shared" si="191"/>
        <v>0</v>
      </c>
      <c r="T626" s="404">
        <f t="shared" si="192"/>
        <v>0</v>
      </c>
      <c r="U626" s="403"/>
      <c r="W626" s="43" t="str">
        <f t="shared" si="194"/>
        <v/>
      </c>
      <c r="X626" s="43" t="str">
        <f t="shared" si="146"/>
        <v/>
      </c>
      <c r="Y626" s="43" t="str">
        <f t="shared" si="151"/>
        <v/>
      </c>
    </row>
    <row r="627" spans="1:25" hidden="1">
      <c r="A627" s="397" t="s">
        <v>217</v>
      </c>
      <c r="B627" s="165" t="s">
        <v>217</v>
      </c>
      <c r="C627" s="166"/>
      <c r="D627" s="167"/>
      <c r="E627" s="168"/>
      <c r="F627" s="169"/>
      <c r="G627" s="170"/>
      <c r="H627" s="171"/>
      <c r="I627" s="452"/>
      <c r="J627" s="454">
        <f t="shared" si="187"/>
        <v>0</v>
      </c>
      <c r="K627" s="392" t="s">
        <v>1029</v>
      </c>
      <c r="L627" s="152">
        <v>0</v>
      </c>
      <c r="M627" s="152"/>
      <c r="N627" s="402">
        <f t="shared" si="193"/>
        <v>0</v>
      </c>
      <c r="O627" s="402">
        <f t="shared" si="189"/>
        <v>0</v>
      </c>
      <c r="P627" s="403"/>
      <c r="Q627" s="152">
        <f t="shared" si="190"/>
        <v>0</v>
      </c>
      <c r="R627" s="152">
        <f t="shared" si="190"/>
        <v>0</v>
      </c>
      <c r="S627" s="402">
        <f t="shared" si="191"/>
        <v>0</v>
      </c>
      <c r="T627" s="404">
        <f t="shared" si="192"/>
        <v>0</v>
      </c>
      <c r="U627" s="403"/>
      <c r="W627" s="43" t="str">
        <f t="shared" si="194"/>
        <v/>
      </c>
      <c r="X627" s="43" t="str">
        <f t="shared" si="146"/>
        <v/>
      </c>
      <c r="Y627" s="43" t="str">
        <f t="shared" ref="Y627:Y882" si="195">IF(V627="X","x",IF(T627&gt;0,"x",""))</f>
        <v/>
      </c>
    </row>
    <row r="628" spans="1:25" hidden="1">
      <c r="A628" s="397" t="s">
        <v>217</v>
      </c>
      <c r="B628" s="165" t="s">
        <v>217</v>
      </c>
      <c r="C628" s="166"/>
      <c r="D628" s="167"/>
      <c r="E628" s="168"/>
      <c r="F628" s="169"/>
      <c r="G628" s="170"/>
      <c r="H628" s="171"/>
      <c r="I628" s="452"/>
      <c r="J628" s="454">
        <f t="shared" si="187"/>
        <v>0</v>
      </c>
      <c r="K628" s="392" t="s">
        <v>1029</v>
      </c>
      <c r="L628" s="152">
        <v>0</v>
      </c>
      <c r="M628" s="152"/>
      <c r="N628" s="402">
        <f t="shared" si="193"/>
        <v>0</v>
      </c>
      <c r="O628" s="402">
        <f t="shared" si="189"/>
        <v>0</v>
      </c>
      <c r="P628" s="403"/>
      <c r="Q628" s="152">
        <f t="shared" si="190"/>
        <v>0</v>
      </c>
      <c r="R628" s="152">
        <f t="shared" si="190"/>
        <v>0</v>
      </c>
      <c r="S628" s="402">
        <f t="shared" si="191"/>
        <v>0</v>
      </c>
      <c r="T628" s="404">
        <f t="shared" si="192"/>
        <v>0</v>
      </c>
      <c r="U628" s="403"/>
      <c r="W628" s="43" t="str">
        <f t="shared" si="194"/>
        <v/>
      </c>
      <c r="X628" s="43" t="str">
        <f t="shared" si="146"/>
        <v/>
      </c>
      <c r="Y628" s="43" t="str">
        <f t="shared" si="195"/>
        <v/>
      </c>
    </row>
    <row r="629" spans="1:25" hidden="1">
      <c r="A629" s="397" t="s">
        <v>217</v>
      </c>
      <c r="B629" s="165" t="s">
        <v>217</v>
      </c>
      <c r="C629" s="166"/>
      <c r="D629" s="167"/>
      <c r="E629" s="168"/>
      <c r="F629" s="169"/>
      <c r="G629" s="170"/>
      <c r="H629" s="171"/>
      <c r="I629" s="452"/>
      <c r="J629" s="454">
        <f t="shared" si="187"/>
        <v>0</v>
      </c>
      <c r="K629" s="392" t="s">
        <v>1029</v>
      </c>
      <c r="L629" s="152">
        <v>0</v>
      </c>
      <c r="M629" s="152"/>
      <c r="N629" s="402">
        <f t="shared" si="193"/>
        <v>0</v>
      </c>
      <c r="O629" s="402">
        <f t="shared" si="189"/>
        <v>0</v>
      </c>
      <c r="P629" s="403"/>
      <c r="Q629" s="152">
        <f t="shared" si="190"/>
        <v>0</v>
      </c>
      <c r="R629" s="152">
        <f t="shared" si="190"/>
        <v>0</v>
      </c>
      <c r="S629" s="402">
        <f t="shared" si="191"/>
        <v>0</v>
      </c>
      <c r="T629" s="404">
        <f t="shared" si="192"/>
        <v>0</v>
      </c>
      <c r="U629" s="403"/>
      <c r="W629" s="43" t="str">
        <f t="shared" si="194"/>
        <v/>
      </c>
      <c r="X629" s="43" t="str">
        <f t="shared" si="146"/>
        <v/>
      </c>
      <c r="Y629" s="43" t="str">
        <f t="shared" si="195"/>
        <v/>
      </c>
    </row>
    <row r="630" spans="1:25" hidden="1">
      <c r="A630" s="397" t="s">
        <v>217</v>
      </c>
      <c r="B630" s="165" t="s">
        <v>217</v>
      </c>
      <c r="C630" s="166"/>
      <c r="D630" s="167"/>
      <c r="E630" s="168"/>
      <c r="F630" s="169"/>
      <c r="G630" s="170"/>
      <c r="H630" s="171"/>
      <c r="I630" s="452"/>
      <c r="J630" s="454">
        <f t="shared" si="187"/>
        <v>0</v>
      </c>
      <c r="K630" s="392" t="s">
        <v>1029</v>
      </c>
      <c r="L630" s="152">
        <v>0</v>
      </c>
      <c r="M630" s="152"/>
      <c r="N630" s="402">
        <f t="shared" si="193"/>
        <v>0</v>
      </c>
      <c r="O630" s="402">
        <f t="shared" si="189"/>
        <v>0</v>
      </c>
      <c r="P630" s="403"/>
      <c r="Q630" s="152">
        <f t="shared" si="190"/>
        <v>0</v>
      </c>
      <c r="R630" s="152">
        <f t="shared" si="190"/>
        <v>0</v>
      </c>
      <c r="S630" s="402">
        <f t="shared" si="191"/>
        <v>0</v>
      </c>
      <c r="T630" s="404">
        <f t="shared" si="192"/>
        <v>0</v>
      </c>
      <c r="U630" s="403"/>
      <c r="W630" s="43" t="str">
        <f t="shared" si="194"/>
        <v/>
      </c>
      <c r="X630" s="43" t="str">
        <f t="shared" si="146"/>
        <v/>
      </c>
      <c r="Y630" s="43" t="str">
        <f t="shared" si="195"/>
        <v/>
      </c>
    </row>
    <row r="631" spans="1:25" hidden="1">
      <c r="A631" s="397" t="s">
        <v>217</v>
      </c>
      <c r="B631" s="165" t="s">
        <v>217</v>
      </c>
      <c r="C631" s="166"/>
      <c r="D631" s="167"/>
      <c r="E631" s="168"/>
      <c r="F631" s="169"/>
      <c r="G631" s="170"/>
      <c r="H631" s="171"/>
      <c r="I631" s="452"/>
      <c r="J631" s="454">
        <f t="shared" si="187"/>
        <v>0</v>
      </c>
      <c r="K631" s="392" t="s">
        <v>1029</v>
      </c>
      <c r="L631" s="152">
        <v>0</v>
      </c>
      <c r="M631" s="152"/>
      <c r="N631" s="402">
        <f t="shared" si="193"/>
        <v>0</v>
      </c>
      <c r="O631" s="402">
        <f t="shared" si="189"/>
        <v>0</v>
      </c>
      <c r="P631" s="403"/>
      <c r="Q631" s="152">
        <f t="shared" si="190"/>
        <v>0</v>
      </c>
      <c r="R631" s="152">
        <f t="shared" si="190"/>
        <v>0</v>
      </c>
      <c r="S631" s="402">
        <f t="shared" si="191"/>
        <v>0</v>
      </c>
      <c r="T631" s="404">
        <f t="shared" si="192"/>
        <v>0</v>
      </c>
      <c r="U631" s="403"/>
      <c r="W631" s="43" t="str">
        <f t="shared" si="194"/>
        <v/>
      </c>
      <c r="X631" s="43" t="str">
        <f t="shared" si="146"/>
        <v/>
      </c>
      <c r="Y631" s="43" t="str">
        <f t="shared" si="195"/>
        <v/>
      </c>
    </row>
    <row r="632" spans="1:25" hidden="1">
      <c r="A632" s="397" t="s">
        <v>217</v>
      </c>
      <c r="B632" s="165" t="s">
        <v>217</v>
      </c>
      <c r="C632" s="166"/>
      <c r="D632" s="167"/>
      <c r="E632" s="168"/>
      <c r="F632" s="169"/>
      <c r="G632" s="170"/>
      <c r="H632" s="171"/>
      <c r="I632" s="452"/>
      <c r="J632" s="454">
        <f t="shared" si="187"/>
        <v>0</v>
      </c>
      <c r="K632" s="392" t="s">
        <v>1029</v>
      </c>
      <c r="L632" s="152">
        <v>0</v>
      </c>
      <c r="M632" s="152"/>
      <c r="N632" s="402">
        <f t="shared" si="193"/>
        <v>0</v>
      </c>
      <c r="O632" s="402">
        <f t="shared" si="189"/>
        <v>0</v>
      </c>
      <c r="P632" s="403"/>
      <c r="Q632" s="152">
        <f t="shared" si="190"/>
        <v>0</v>
      </c>
      <c r="R632" s="152">
        <f t="shared" si="190"/>
        <v>0</v>
      </c>
      <c r="S632" s="402">
        <f t="shared" si="191"/>
        <v>0</v>
      </c>
      <c r="T632" s="404">
        <f t="shared" si="192"/>
        <v>0</v>
      </c>
      <c r="U632" s="403"/>
      <c r="W632" s="43" t="str">
        <f t="shared" si="194"/>
        <v/>
      </c>
      <c r="X632" s="43" t="str">
        <f t="shared" si="146"/>
        <v/>
      </c>
      <c r="Y632" s="43" t="str">
        <f t="shared" si="195"/>
        <v/>
      </c>
    </row>
    <row r="633" spans="1:25" hidden="1">
      <c r="A633" s="397" t="s">
        <v>217</v>
      </c>
      <c r="B633" s="165" t="s">
        <v>217</v>
      </c>
      <c r="C633" s="166"/>
      <c r="D633" s="167"/>
      <c r="E633" s="168"/>
      <c r="F633" s="169"/>
      <c r="G633" s="170"/>
      <c r="H633" s="171"/>
      <c r="I633" s="452"/>
      <c r="J633" s="454">
        <f t="shared" si="187"/>
        <v>0</v>
      </c>
      <c r="K633" s="392" t="s">
        <v>1029</v>
      </c>
      <c r="L633" s="152">
        <v>0</v>
      </c>
      <c r="M633" s="152"/>
      <c r="N633" s="402">
        <f t="shared" si="193"/>
        <v>0</v>
      </c>
      <c r="O633" s="402">
        <f t="shared" si="189"/>
        <v>0</v>
      </c>
      <c r="P633" s="403"/>
      <c r="Q633" s="152">
        <f t="shared" si="190"/>
        <v>0</v>
      </c>
      <c r="R633" s="152">
        <f t="shared" si="190"/>
        <v>0</v>
      </c>
      <c r="S633" s="402">
        <f t="shared" si="191"/>
        <v>0</v>
      </c>
      <c r="T633" s="404">
        <f t="shared" si="192"/>
        <v>0</v>
      </c>
      <c r="U633" s="403"/>
      <c r="W633" s="43" t="str">
        <f t="shared" si="194"/>
        <v/>
      </c>
      <c r="X633" s="43" t="str">
        <f t="shared" si="146"/>
        <v/>
      </c>
      <c r="Y633" s="43" t="str">
        <f t="shared" si="195"/>
        <v/>
      </c>
    </row>
    <row r="634" spans="1:25" hidden="1">
      <c r="A634" s="397" t="s">
        <v>217</v>
      </c>
      <c r="B634" s="165" t="s">
        <v>217</v>
      </c>
      <c r="C634" s="166"/>
      <c r="D634" s="167"/>
      <c r="E634" s="168"/>
      <c r="F634" s="169"/>
      <c r="G634" s="170"/>
      <c r="H634" s="171"/>
      <c r="I634" s="452"/>
      <c r="J634" s="454">
        <f t="shared" si="187"/>
        <v>0</v>
      </c>
      <c r="K634" s="392" t="s">
        <v>1029</v>
      </c>
      <c r="L634" s="152">
        <v>0</v>
      </c>
      <c r="M634" s="152"/>
      <c r="N634" s="402">
        <f t="shared" si="193"/>
        <v>0</v>
      </c>
      <c r="O634" s="402">
        <f t="shared" si="189"/>
        <v>0</v>
      </c>
      <c r="P634" s="403"/>
      <c r="Q634" s="152">
        <f t="shared" si="190"/>
        <v>0</v>
      </c>
      <c r="R634" s="152">
        <f t="shared" si="190"/>
        <v>0</v>
      </c>
      <c r="S634" s="402">
        <f t="shared" si="191"/>
        <v>0</v>
      </c>
      <c r="T634" s="404">
        <f t="shared" si="192"/>
        <v>0</v>
      </c>
      <c r="U634" s="403"/>
      <c r="W634" s="43" t="str">
        <f t="shared" si="194"/>
        <v/>
      </c>
      <c r="X634" s="43" t="str">
        <f t="shared" si="146"/>
        <v/>
      </c>
      <c r="Y634" s="43" t="str">
        <f t="shared" si="195"/>
        <v/>
      </c>
    </row>
    <row r="635" spans="1:25" hidden="1">
      <c r="A635" s="397" t="s">
        <v>217</v>
      </c>
      <c r="B635" s="165" t="s">
        <v>217</v>
      </c>
      <c r="C635" s="166"/>
      <c r="D635" s="167"/>
      <c r="E635" s="168"/>
      <c r="F635" s="169"/>
      <c r="G635" s="170"/>
      <c r="H635" s="171"/>
      <c r="I635" s="452"/>
      <c r="J635" s="454">
        <f t="shared" si="187"/>
        <v>0</v>
      </c>
      <c r="K635" s="392" t="s">
        <v>1029</v>
      </c>
      <c r="L635" s="152">
        <v>0</v>
      </c>
      <c r="M635" s="152"/>
      <c r="N635" s="402">
        <f t="shared" si="193"/>
        <v>0</v>
      </c>
      <c r="O635" s="402">
        <f t="shared" si="189"/>
        <v>0</v>
      </c>
      <c r="P635" s="403"/>
      <c r="Q635" s="152">
        <f t="shared" si="190"/>
        <v>0</v>
      </c>
      <c r="R635" s="152">
        <f t="shared" si="190"/>
        <v>0</v>
      </c>
      <c r="S635" s="402">
        <f t="shared" si="191"/>
        <v>0</v>
      </c>
      <c r="T635" s="404">
        <f t="shared" si="192"/>
        <v>0</v>
      </c>
      <c r="U635" s="403"/>
      <c r="W635" s="43" t="str">
        <f t="shared" si="194"/>
        <v/>
      </c>
      <c r="X635" s="43" t="str">
        <f t="shared" si="146"/>
        <v/>
      </c>
      <c r="Y635" s="43" t="str">
        <f t="shared" si="195"/>
        <v/>
      </c>
    </row>
    <row r="636" spans="1:25" hidden="1">
      <c r="A636" s="397" t="s">
        <v>217</v>
      </c>
      <c r="B636" s="165" t="s">
        <v>217</v>
      </c>
      <c r="C636" s="166"/>
      <c r="D636" s="167"/>
      <c r="E636" s="168"/>
      <c r="F636" s="169"/>
      <c r="G636" s="170"/>
      <c r="H636" s="171"/>
      <c r="I636" s="452"/>
      <c r="J636" s="454">
        <f t="shared" si="187"/>
        <v>0</v>
      </c>
      <c r="K636" s="392" t="s">
        <v>1029</v>
      </c>
      <c r="L636" s="152">
        <v>0</v>
      </c>
      <c r="M636" s="152"/>
      <c r="N636" s="402">
        <f t="shared" si="193"/>
        <v>0</v>
      </c>
      <c r="O636" s="402">
        <f t="shared" si="189"/>
        <v>0</v>
      </c>
      <c r="P636" s="403"/>
      <c r="Q636" s="152">
        <f t="shared" si="190"/>
        <v>0</v>
      </c>
      <c r="R636" s="152">
        <f t="shared" si="190"/>
        <v>0</v>
      </c>
      <c r="S636" s="402">
        <f t="shared" si="191"/>
        <v>0</v>
      </c>
      <c r="T636" s="404">
        <f t="shared" si="192"/>
        <v>0</v>
      </c>
      <c r="U636" s="403"/>
      <c r="W636" s="43" t="str">
        <f t="shared" si="194"/>
        <v/>
      </c>
      <c r="X636" s="43" t="str">
        <f t="shared" si="146"/>
        <v/>
      </c>
      <c r="Y636" s="43" t="str">
        <f t="shared" si="195"/>
        <v/>
      </c>
    </row>
    <row r="637" spans="1:25" hidden="1">
      <c r="A637" s="397" t="s">
        <v>217</v>
      </c>
      <c r="B637" s="165" t="s">
        <v>217</v>
      </c>
      <c r="C637" s="166"/>
      <c r="D637" s="167"/>
      <c r="E637" s="168"/>
      <c r="F637" s="169"/>
      <c r="G637" s="170"/>
      <c r="H637" s="171"/>
      <c r="I637" s="452"/>
      <c r="J637" s="454">
        <f t="shared" si="187"/>
        <v>0</v>
      </c>
      <c r="K637" s="392" t="s">
        <v>1029</v>
      </c>
      <c r="L637" s="152">
        <v>0</v>
      </c>
      <c r="M637" s="152"/>
      <c r="N637" s="402">
        <f t="shared" si="193"/>
        <v>0</v>
      </c>
      <c r="O637" s="402">
        <f t="shared" si="189"/>
        <v>0</v>
      </c>
      <c r="P637" s="403"/>
      <c r="Q637" s="152">
        <f t="shared" si="190"/>
        <v>0</v>
      </c>
      <c r="R637" s="152">
        <f t="shared" si="190"/>
        <v>0</v>
      </c>
      <c r="S637" s="402">
        <f t="shared" si="191"/>
        <v>0</v>
      </c>
      <c r="T637" s="404">
        <f t="shared" si="192"/>
        <v>0</v>
      </c>
      <c r="U637" s="403"/>
      <c r="W637" s="43" t="str">
        <f t="shared" si="194"/>
        <v/>
      </c>
      <c r="X637" s="43" t="str">
        <f t="shared" si="146"/>
        <v/>
      </c>
      <c r="Y637" s="43" t="str">
        <f t="shared" si="195"/>
        <v/>
      </c>
    </row>
    <row r="638" spans="1:25" hidden="1">
      <c r="A638" s="397" t="s">
        <v>217</v>
      </c>
      <c r="B638" s="165" t="s">
        <v>217</v>
      </c>
      <c r="C638" s="166"/>
      <c r="D638" s="167"/>
      <c r="E638" s="168"/>
      <c r="F638" s="169"/>
      <c r="G638" s="170"/>
      <c r="H638" s="171"/>
      <c r="I638" s="452"/>
      <c r="J638" s="454">
        <f t="shared" si="187"/>
        <v>0</v>
      </c>
      <c r="K638" s="392" t="s">
        <v>1029</v>
      </c>
      <c r="L638" s="152">
        <v>0</v>
      </c>
      <c r="M638" s="152"/>
      <c r="N638" s="402">
        <f t="shared" si="193"/>
        <v>0</v>
      </c>
      <c r="O638" s="402">
        <f t="shared" si="189"/>
        <v>0</v>
      </c>
      <c r="P638" s="403"/>
      <c r="Q638" s="152">
        <f t="shared" si="190"/>
        <v>0</v>
      </c>
      <c r="R638" s="152">
        <f t="shared" si="190"/>
        <v>0</v>
      </c>
      <c r="S638" s="402">
        <f t="shared" si="191"/>
        <v>0</v>
      </c>
      <c r="T638" s="404">
        <f t="shared" si="192"/>
        <v>0</v>
      </c>
      <c r="U638" s="403"/>
      <c r="W638" s="43" t="str">
        <f t="shared" si="194"/>
        <v/>
      </c>
      <c r="X638" s="43" t="str">
        <f t="shared" si="146"/>
        <v/>
      </c>
      <c r="Y638" s="43" t="str">
        <f t="shared" si="195"/>
        <v/>
      </c>
    </row>
    <row r="639" spans="1:25" hidden="1">
      <c r="A639" s="397" t="s">
        <v>217</v>
      </c>
      <c r="B639" s="165" t="s">
        <v>217</v>
      </c>
      <c r="C639" s="166"/>
      <c r="D639" s="167"/>
      <c r="E639" s="168"/>
      <c r="F639" s="169"/>
      <c r="G639" s="170"/>
      <c r="H639" s="171"/>
      <c r="I639" s="452"/>
      <c r="J639" s="454">
        <f t="shared" si="187"/>
        <v>0</v>
      </c>
      <c r="K639" s="392" t="s">
        <v>1029</v>
      </c>
      <c r="L639" s="152">
        <v>0</v>
      </c>
      <c r="M639" s="152"/>
      <c r="N639" s="402">
        <f t="shared" si="193"/>
        <v>0</v>
      </c>
      <c r="O639" s="402">
        <f t="shared" si="189"/>
        <v>0</v>
      </c>
      <c r="P639" s="403"/>
      <c r="Q639" s="152">
        <f t="shared" si="190"/>
        <v>0</v>
      </c>
      <c r="R639" s="152">
        <f t="shared" si="190"/>
        <v>0</v>
      </c>
      <c r="S639" s="402">
        <f t="shared" si="191"/>
        <v>0</v>
      </c>
      <c r="T639" s="404">
        <f t="shared" si="192"/>
        <v>0</v>
      </c>
      <c r="U639" s="403"/>
      <c r="W639" s="43" t="str">
        <f t="shared" si="194"/>
        <v/>
      </c>
      <c r="X639" s="43" t="str">
        <f t="shared" si="146"/>
        <v/>
      </c>
      <c r="Y639" s="43" t="str">
        <f t="shared" si="195"/>
        <v/>
      </c>
    </row>
    <row r="640" spans="1:25" hidden="1">
      <c r="A640" s="397" t="s">
        <v>217</v>
      </c>
      <c r="B640" s="165" t="s">
        <v>217</v>
      </c>
      <c r="C640" s="166"/>
      <c r="D640" s="167"/>
      <c r="E640" s="168"/>
      <c r="F640" s="169"/>
      <c r="G640" s="170"/>
      <c r="H640" s="171"/>
      <c r="I640" s="452"/>
      <c r="J640" s="454">
        <f t="shared" si="187"/>
        <v>0</v>
      </c>
      <c r="K640" s="392" t="s">
        <v>1029</v>
      </c>
      <c r="L640" s="152">
        <v>0</v>
      </c>
      <c r="M640" s="152"/>
      <c r="N640" s="402">
        <f t="shared" si="193"/>
        <v>0</v>
      </c>
      <c r="O640" s="402">
        <f t="shared" si="189"/>
        <v>0</v>
      </c>
      <c r="P640" s="403"/>
      <c r="Q640" s="152">
        <f t="shared" si="190"/>
        <v>0</v>
      </c>
      <c r="R640" s="152">
        <f t="shared" si="190"/>
        <v>0</v>
      </c>
      <c r="S640" s="402">
        <f t="shared" si="191"/>
        <v>0</v>
      </c>
      <c r="T640" s="404">
        <f t="shared" si="192"/>
        <v>0</v>
      </c>
      <c r="U640" s="403"/>
      <c r="W640" s="43" t="str">
        <f t="shared" si="194"/>
        <v/>
      </c>
      <c r="X640" s="43" t="str">
        <f t="shared" si="146"/>
        <v/>
      </c>
      <c r="Y640" s="43" t="str">
        <f t="shared" si="195"/>
        <v/>
      </c>
    </row>
    <row r="641" spans="1:25" hidden="1">
      <c r="A641" s="397" t="s">
        <v>217</v>
      </c>
      <c r="B641" s="165" t="s">
        <v>217</v>
      </c>
      <c r="C641" s="166"/>
      <c r="D641" s="167"/>
      <c r="E641" s="168"/>
      <c r="F641" s="169"/>
      <c r="G641" s="170"/>
      <c r="H641" s="171"/>
      <c r="I641" s="452"/>
      <c r="J641" s="454">
        <f t="shared" si="187"/>
        <v>0</v>
      </c>
      <c r="K641" s="392" t="s">
        <v>1029</v>
      </c>
      <c r="L641" s="152">
        <v>0</v>
      </c>
      <c r="M641" s="152"/>
      <c r="N641" s="402">
        <f t="shared" si="193"/>
        <v>0</v>
      </c>
      <c r="O641" s="402">
        <f t="shared" si="189"/>
        <v>0</v>
      </c>
      <c r="P641" s="403"/>
      <c r="Q641" s="152">
        <f t="shared" si="190"/>
        <v>0</v>
      </c>
      <c r="R641" s="152">
        <f t="shared" si="190"/>
        <v>0</v>
      </c>
      <c r="S641" s="402">
        <f t="shared" si="191"/>
        <v>0</v>
      </c>
      <c r="T641" s="404">
        <f t="shared" si="192"/>
        <v>0</v>
      </c>
      <c r="U641" s="403"/>
      <c r="W641" s="43" t="str">
        <f t="shared" si="194"/>
        <v/>
      </c>
      <c r="X641" s="43" t="str">
        <f t="shared" si="146"/>
        <v/>
      </c>
      <c r="Y641" s="43" t="str">
        <f t="shared" si="195"/>
        <v/>
      </c>
    </row>
    <row r="642" spans="1:25" hidden="1">
      <c r="A642" s="397" t="s">
        <v>217</v>
      </c>
      <c r="B642" s="165" t="s">
        <v>217</v>
      </c>
      <c r="C642" s="166"/>
      <c r="D642" s="167"/>
      <c r="E642" s="168"/>
      <c r="F642" s="169"/>
      <c r="G642" s="170"/>
      <c r="H642" s="171"/>
      <c r="I642" s="452"/>
      <c r="J642" s="454">
        <f t="shared" si="187"/>
        <v>0</v>
      </c>
      <c r="K642" s="392" t="s">
        <v>1029</v>
      </c>
      <c r="L642" s="152">
        <v>0</v>
      </c>
      <c r="M642" s="152"/>
      <c r="N642" s="402">
        <f t="shared" si="193"/>
        <v>0</v>
      </c>
      <c r="O642" s="402">
        <f t="shared" si="189"/>
        <v>0</v>
      </c>
      <c r="P642" s="403"/>
      <c r="Q642" s="152">
        <f t="shared" ref="Q642:R648" si="196">L642</f>
        <v>0</v>
      </c>
      <c r="R642" s="152">
        <f t="shared" si="196"/>
        <v>0</v>
      </c>
      <c r="S642" s="402">
        <f t="shared" si="191"/>
        <v>0</v>
      </c>
      <c r="T642" s="404">
        <f t="shared" si="192"/>
        <v>0</v>
      </c>
      <c r="U642" s="403"/>
      <c r="W642" s="43" t="str">
        <f t="shared" si="194"/>
        <v/>
      </c>
      <c r="X642" s="43" t="str">
        <f t="shared" si="146"/>
        <v/>
      </c>
      <c r="Y642" s="43" t="str">
        <f t="shared" si="195"/>
        <v/>
      </c>
    </row>
    <row r="643" spans="1:25" hidden="1">
      <c r="A643" s="397" t="s">
        <v>217</v>
      </c>
      <c r="B643" s="165" t="s">
        <v>217</v>
      </c>
      <c r="C643" s="166"/>
      <c r="D643" s="167"/>
      <c r="E643" s="168"/>
      <c r="F643" s="169"/>
      <c r="G643" s="170"/>
      <c r="H643" s="171"/>
      <c r="I643" s="452"/>
      <c r="J643" s="454"/>
      <c r="K643" s="392" t="s">
        <v>1029</v>
      </c>
      <c r="L643" s="152">
        <v>0</v>
      </c>
      <c r="M643" s="152"/>
      <c r="N643" s="402"/>
      <c r="O643" s="402"/>
      <c r="P643" s="403"/>
      <c r="Q643" s="152">
        <f t="shared" si="196"/>
        <v>0</v>
      </c>
      <c r="R643" s="152">
        <f t="shared" si="196"/>
        <v>0</v>
      </c>
      <c r="S643" s="402"/>
      <c r="T643" s="404"/>
      <c r="U643" s="403"/>
      <c r="W643" s="43" t="str">
        <f t="shared" si="194"/>
        <v/>
      </c>
      <c r="X643" s="43"/>
      <c r="Y643" s="43"/>
    </row>
    <row r="644" spans="1:25" hidden="1">
      <c r="A644" s="397" t="s">
        <v>217</v>
      </c>
      <c r="B644" s="165" t="s">
        <v>217</v>
      </c>
      <c r="C644" s="166"/>
      <c r="D644" s="167"/>
      <c r="E644" s="168"/>
      <c r="F644" s="169"/>
      <c r="G644" s="170"/>
      <c r="H644" s="171"/>
      <c r="I644" s="452"/>
      <c r="J644" s="454">
        <f t="shared" si="187"/>
        <v>0</v>
      </c>
      <c r="K644" s="392" t="s">
        <v>1029</v>
      </c>
      <c r="L644" s="152">
        <v>0</v>
      </c>
      <c r="M644" s="152"/>
      <c r="N644" s="402">
        <f t="shared" si="193"/>
        <v>0</v>
      </c>
      <c r="O644" s="402">
        <f t="shared" si="189"/>
        <v>0</v>
      </c>
      <c r="P644" s="403"/>
      <c r="Q644" s="152">
        <f t="shared" si="196"/>
        <v>0</v>
      </c>
      <c r="R644" s="152">
        <f t="shared" si="196"/>
        <v>0</v>
      </c>
      <c r="S644" s="402">
        <f t="shared" si="191"/>
        <v>0</v>
      </c>
      <c r="T644" s="404">
        <f t="shared" si="192"/>
        <v>0</v>
      </c>
      <c r="U644" s="403"/>
      <c r="W644" s="43" t="str">
        <f t="shared" si="194"/>
        <v/>
      </c>
      <c r="X644" s="43" t="str">
        <f t="shared" si="146"/>
        <v/>
      </c>
      <c r="Y644" s="43" t="str">
        <f t="shared" si="195"/>
        <v/>
      </c>
    </row>
    <row r="645" spans="1:25" hidden="1">
      <c r="A645" s="397" t="s">
        <v>217</v>
      </c>
      <c r="B645" s="165" t="s">
        <v>217</v>
      </c>
      <c r="C645" s="166"/>
      <c r="D645" s="167"/>
      <c r="E645" s="168"/>
      <c r="F645" s="169"/>
      <c r="G645" s="170"/>
      <c r="H645" s="171"/>
      <c r="I645" s="452"/>
      <c r="J645" s="454">
        <f t="shared" si="187"/>
        <v>0</v>
      </c>
      <c r="K645" s="392" t="s">
        <v>1029</v>
      </c>
      <c r="L645" s="152">
        <v>0</v>
      </c>
      <c r="M645" s="152"/>
      <c r="N645" s="402">
        <f t="shared" si="193"/>
        <v>0</v>
      </c>
      <c r="O645" s="402">
        <f t="shared" si="189"/>
        <v>0</v>
      </c>
      <c r="P645" s="403"/>
      <c r="Q645" s="152">
        <f t="shared" si="196"/>
        <v>0</v>
      </c>
      <c r="R645" s="152">
        <f t="shared" si="196"/>
        <v>0</v>
      </c>
      <c r="S645" s="402">
        <f t="shared" si="191"/>
        <v>0</v>
      </c>
      <c r="T645" s="404">
        <f t="shared" si="192"/>
        <v>0</v>
      </c>
      <c r="U645" s="403"/>
      <c r="W645" s="43" t="str">
        <f t="shared" si="194"/>
        <v/>
      </c>
      <c r="X645" s="43" t="str">
        <f t="shared" si="146"/>
        <v/>
      </c>
      <c r="Y645" s="43" t="str">
        <f t="shared" si="195"/>
        <v/>
      </c>
    </row>
    <row r="646" spans="1:25" hidden="1">
      <c r="A646" s="397" t="s">
        <v>217</v>
      </c>
      <c r="B646" s="165" t="s">
        <v>217</v>
      </c>
      <c r="C646" s="166"/>
      <c r="D646" s="167"/>
      <c r="E646" s="168"/>
      <c r="F646" s="169"/>
      <c r="G646" s="170"/>
      <c r="H646" s="171"/>
      <c r="I646" s="452"/>
      <c r="J646" s="454">
        <f t="shared" si="187"/>
        <v>0</v>
      </c>
      <c r="K646" s="392" t="s">
        <v>1029</v>
      </c>
      <c r="L646" s="152">
        <v>0</v>
      </c>
      <c r="M646" s="152"/>
      <c r="N646" s="402">
        <f t="shared" si="193"/>
        <v>0</v>
      </c>
      <c r="O646" s="402">
        <f t="shared" si="189"/>
        <v>0</v>
      </c>
      <c r="P646" s="403"/>
      <c r="Q646" s="152">
        <f t="shared" si="196"/>
        <v>0</v>
      </c>
      <c r="R646" s="152">
        <f t="shared" si="196"/>
        <v>0</v>
      </c>
      <c r="S646" s="402">
        <f t="shared" si="191"/>
        <v>0</v>
      </c>
      <c r="T646" s="404">
        <f t="shared" si="192"/>
        <v>0</v>
      </c>
      <c r="U646" s="403"/>
      <c r="W646" s="43" t="str">
        <f t="shared" si="194"/>
        <v/>
      </c>
      <c r="X646" s="43" t="str">
        <f t="shared" si="146"/>
        <v/>
      </c>
      <c r="Y646" s="43" t="str">
        <f t="shared" si="195"/>
        <v/>
      </c>
    </row>
    <row r="647" spans="1:25" hidden="1">
      <c r="A647" s="397" t="s">
        <v>217</v>
      </c>
      <c r="B647" s="165" t="s">
        <v>217</v>
      </c>
      <c r="C647" s="166"/>
      <c r="D647" s="167"/>
      <c r="E647" s="168"/>
      <c r="F647" s="169"/>
      <c r="G647" s="170"/>
      <c r="H647" s="171"/>
      <c r="I647" s="452"/>
      <c r="J647" s="454">
        <f t="shared" si="187"/>
        <v>0</v>
      </c>
      <c r="K647" s="392" t="s">
        <v>1029</v>
      </c>
      <c r="L647" s="152">
        <v>0</v>
      </c>
      <c r="M647" s="152"/>
      <c r="N647" s="402">
        <f t="shared" si="193"/>
        <v>0</v>
      </c>
      <c r="O647" s="402">
        <f t="shared" si="189"/>
        <v>0</v>
      </c>
      <c r="P647" s="403"/>
      <c r="Q647" s="152">
        <f t="shared" si="196"/>
        <v>0</v>
      </c>
      <c r="R647" s="152">
        <f t="shared" si="196"/>
        <v>0</v>
      </c>
      <c r="S647" s="402">
        <f t="shared" si="191"/>
        <v>0</v>
      </c>
      <c r="T647" s="404">
        <f t="shared" si="192"/>
        <v>0</v>
      </c>
      <c r="U647" s="403"/>
      <c r="W647" s="43" t="str">
        <f t="shared" si="194"/>
        <v/>
      </c>
      <c r="X647" s="43" t="str">
        <f t="shared" si="146"/>
        <v/>
      </c>
      <c r="Y647" s="43" t="str">
        <f t="shared" si="195"/>
        <v/>
      </c>
    </row>
    <row r="648" spans="1:25" ht="13.5" hidden="1" thickBot="1">
      <c r="A648" s="398" t="s">
        <v>217</v>
      </c>
      <c r="B648" s="172" t="s">
        <v>217</v>
      </c>
      <c r="C648" s="173"/>
      <c r="D648" s="174"/>
      <c r="E648" s="175"/>
      <c r="F648" s="176"/>
      <c r="G648" s="177"/>
      <c r="H648" s="178"/>
      <c r="I648" s="455"/>
      <c r="J648" s="456">
        <f t="shared" si="187"/>
        <v>0</v>
      </c>
      <c r="K648" s="393" t="s">
        <v>1029</v>
      </c>
      <c r="L648" s="152">
        <v>0</v>
      </c>
      <c r="M648" s="152"/>
      <c r="N648" s="163">
        <f t="shared" si="193"/>
        <v>0</v>
      </c>
      <c r="O648" s="163">
        <f t="shared" si="189"/>
        <v>0</v>
      </c>
      <c r="P648" s="403"/>
      <c r="Q648" s="152">
        <f t="shared" si="196"/>
        <v>0</v>
      </c>
      <c r="R648" s="152">
        <f t="shared" si="196"/>
        <v>0</v>
      </c>
      <c r="S648" s="163">
        <f t="shared" si="191"/>
        <v>0</v>
      </c>
      <c r="T648" s="179">
        <f t="shared" si="192"/>
        <v>0</v>
      </c>
      <c r="U648" s="403"/>
      <c r="W648" s="43" t="str">
        <f t="shared" si="194"/>
        <v/>
      </c>
      <c r="X648" s="43" t="str">
        <f t="shared" si="146"/>
        <v/>
      </c>
      <c r="Y648" s="43" t="str">
        <f t="shared" si="195"/>
        <v/>
      </c>
    </row>
    <row r="649" spans="1:25" ht="13.5" hidden="1" thickBot="1">
      <c r="A649" s="180" t="s">
        <v>429</v>
      </c>
      <c r="B649" s="181"/>
      <c r="C649" s="346" t="s">
        <v>606</v>
      </c>
      <c r="D649" s="137"/>
      <c r="E649" s="138"/>
      <c r="F649" s="139"/>
      <c r="G649" s="140"/>
      <c r="H649" s="141"/>
      <c r="I649" s="141"/>
      <c r="J649" s="141"/>
      <c r="K649" s="141" t="s">
        <v>1029</v>
      </c>
      <c r="L649" s="152">
        <v>0</v>
      </c>
      <c r="M649" s="141"/>
      <c r="N649" s="141"/>
      <c r="O649" s="142"/>
      <c r="P649" s="143">
        <f>SUM(O650:O888)</f>
        <v>0</v>
      </c>
      <c r="Q649" s="140"/>
      <c r="R649" s="141"/>
      <c r="S649" s="141"/>
      <c r="T649" s="142"/>
      <c r="U649" s="143">
        <f>SUM(T650:T888)</f>
        <v>0</v>
      </c>
      <c r="V649" s="144" t="str">
        <f>IF(OR(P649&gt;0,U649&gt;0),"X","")</f>
        <v/>
      </c>
      <c r="W649" s="43" t="str">
        <f t="shared" si="194"/>
        <v/>
      </c>
      <c r="X649" s="43" t="str">
        <f t="shared" si="146"/>
        <v/>
      </c>
      <c r="Y649" s="43" t="str">
        <f t="shared" si="195"/>
        <v/>
      </c>
    </row>
    <row r="650" spans="1:25" hidden="1">
      <c r="A650" s="155">
        <v>702</v>
      </c>
      <c r="B650" s="156" t="s">
        <v>591</v>
      </c>
      <c r="C650" s="411" t="s">
        <v>670</v>
      </c>
      <c r="D650" s="351"/>
      <c r="E650" s="405">
        <v>0</v>
      </c>
      <c r="F650" s="406"/>
      <c r="G650" s="158">
        <v>0</v>
      </c>
      <c r="H650" s="465">
        <v>456.36</v>
      </c>
      <c r="I650" s="465">
        <f t="shared" ref="I650:I655" si="197">IF(ISBLANK(H650),"",SUM(G650:H650))</f>
        <v>456.36</v>
      </c>
      <c r="J650" s="407">
        <f t="shared" ref="J650:J713" si="198">IF(ISBLANK(H650),0,ROUND(I650*(1+$E$10)*(1+$E$11*D650),2))</f>
        <v>578.66</v>
      </c>
      <c r="K650" s="408" t="s">
        <v>203</v>
      </c>
      <c r="L650" s="152">
        <v>0</v>
      </c>
      <c r="M650" s="152"/>
      <c r="N650" s="402">
        <f t="shared" ref="N650:N713" si="199">IF(ISBLANK(L650),0,ROUND(J650*L650,2))</f>
        <v>0</v>
      </c>
      <c r="O650" s="402">
        <f t="shared" ref="O650:O713" si="200">IF(ISBLANK(M650),0,ROUND(L650*M650,2))</f>
        <v>0</v>
      </c>
      <c r="P650" s="403"/>
      <c r="Q650" s="152">
        <f t="shared" ref="Q650:R665" si="201">L650</f>
        <v>0</v>
      </c>
      <c r="R650" s="152">
        <f t="shared" si="201"/>
        <v>0</v>
      </c>
      <c r="S650" s="402">
        <f t="shared" ref="S650:S713" si="202">IF(ISBLANK(Q650),0,ROUND(J650*Q650,2))</f>
        <v>0</v>
      </c>
      <c r="T650" s="404">
        <f t="shared" ref="T650:T713" si="203">IF(ISBLANK(Q650),0,ROUND(Q650*R650,2))</f>
        <v>0</v>
      </c>
      <c r="U650" s="403"/>
      <c r="W650" s="43" t="str">
        <f t="shared" si="194"/>
        <v/>
      </c>
      <c r="X650" s="43" t="str">
        <f t="shared" si="146"/>
        <v/>
      </c>
      <c r="Y650" s="43" t="str">
        <f t="shared" si="195"/>
        <v/>
      </c>
    </row>
    <row r="651" spans="1:25" hidden="1">
      <c r="A651" s="155">
        <v>703</v>
      </c>
      <c r="B651" s="156" t="s">
        <v>591</v>
      </c>
      <c r="C651" s="411" t="s">
        <v>671</v>
      </c>
      <c r="D651" s="351"/>
      <c r="E651" s="405">
        <v>0</v>
      </c>
      <c r="F651" s="406"/>
      <c r="G651" s="158">
        <v>0</v>
      </c>
      <c r="H651" s="465">
        <v>57.9</v>
      </c>
      <c r="I651" s="465">
        <f t="shared" si="197"/>
        <v>57.9</v>
      </c>
      <c r="J651" s="407">
        <f t="shared" si="198"/>
        <v>73.42</v>
      </c>
      <c r="K651" s="408" t="s">
        <v>23</v>
      </c>
      <c r="L651" s="152">
        <v>0</v>
      </c>
      <c r="M651" s="152"/>
      <c r="N651" s="402">
        <f t="shared" si="199"/>
        <v>0</v>
      </c>
      <c r="O651" s="402">
        <f t="shared" si="200"/>
        <v>0</v>
      </c>
      <c r="P651" s="403"/>
      <c r="Q651" s="152">
        <f t="shared" si="201"/>
        <v>0</v>
      </c>
      <c r="R651" s="152">
        <f t="shared" si="201"/>
        <v>0</v>
      </c>
      <c r="S651" s="402">
        <f t="shared" si="202"/>
        <v>0</v>
      </c>
      <c r="T651" s="404">
        <f t="shared" si="203"/>
        <v>0</v>
      </c>
      <c r="U651" s="403"/>
      <c r="W651" s="43" t="str">
        <f t="shared" si="194"/>
        <v/>
      </c>
      <c r="X651" s="43" t="str">
        <f t="shared" si="146"/>
        <v/>
      </c>
      <c r="Y651" s="43" t="str">
        <f t="shared" si="195"/>
        <v/>
      </c>
    </row>
    <row r="652" spans="1:25" hidden="1">
      <c r="A652" s="155">
        <v>704</v>
      </c>
      <c r="B652" s="156" t="s">
        <v>591</v>
      </c>
      <c r="C652" s="411" t="s">
        <v>672</v>
      </c>
      <c r="D652" s="351"/>
      <c r="E652" s="405">
        <v>0</v>
      </c>
      <c r="F652" s="406"/>
      <c r="G652" s="158">
        <v>0</v>
      </c>
      <c r="H652" s="465">
        <v>44.54</v>
      </c>
      <c r="I652" s="465">
        <f t="shared" si="197"/>
        <v>44.54</v>
      </c>
      <c r="J652" s="407">
        <f t="shared" si="198"/>
        <v>56.48</v>
      </c>
      <c r="K652" s="408" t="s">
        <v>23</v>
      </c>
      <c r="L652" s="152">
        <v>0</v>
      </c>
      <c r="M652" s="152"/>
      <c r="N652" s="402">
        <f t="shared" si="199"/>
        <v>0</v>
      </c>
      <c r="O652" s="402">
        <f t="shared" si="200"/>
        <v>0</v>
      </c>
      <c r="P652" s="403"/>
      <c r="Q652" s="152">
        <f t="shared" si="201"/>
        <v>0</v>
      </c>
      <c r="R652" s="152">
        <f t="shared" si="201"/>
        <v>0</v>
      </c>
      <c r="S652" s="402">
        <f t="shared" si="202"/>
        <v>0</v>
      </c>
      <c r="T652" s="404">
        <f t="shared" si="203"/>
        <v>0</v>
      </c>
      <c r="U652" s="403"/>
      <c r="W652" s="43" t="str">
        <f t="shared" si="194"/>
        <v/>
      </c>
      <c r="X652" s="43" t="str">
        <f t="shared" si="146"/>
        <v/>
      </c>
      <c r="Y652" s="43" t="str">
        <f t="shared" si="195"/>
        <v/>
      </c>
    </row>
    <row r="653" spans="1:25" hidden="1">
      <c r="A653" s="155">
        <v>740</v>
      </c>
      <c r="B653" s="156" t="s">
        <v>591</v>
      </c>
      <c r="C653" s="411" t="s">
        <v>812</v>
      </c>
      <c r="D653" s="351"/>
      <c r="E653" s="405">
        <v>0</v>
      </c>
      <c r="F653" s="406"/>
      <c r="G653" s="158">
        <v>0</v>
      </c>
      <c r="H653" s="465">
        <v>54.82</v>
      </c>
      <c r="I653" s="465">
        <f t="shared" si="197"/>
        <v>54.82</v>
      </c>
      <c r="J653" s="407">
        <f t="shared" si="198"/>
        <v>69.510000000000005</v>
      </c>
      <c r="K653" s="408" t="s">
        <v>23</v>
      </c>
      <c r="L653" s="152">
        <v>0</v>
      </c>
      <c r="M653" s="152"/>
      <c r="N653" s="402">
        <f t="shared" si="199"/>
        <v>0</v>
      </c>
      <c r="O653" s="402">
        <f t="shared" si="200"/>
        <v>0</v>
      </c>
      <c r="P653" s="403"/>
      <c r="Q653" s="152">
        <f t="shared" si="201"/>
        <v>0</v>
      </c>
      <c r="R653" s="152">
        <f t="shared" si="201"/>
        <v>0</v>
      </c>
      <c r="S653" s="402">
        <f t="shared" si="202"/>
        <v>0</v>
      </c>
      <c r="T653" s="404">
        <f t="shared" si="203"/>
        <v>0</v>
      </c>
      <c r="U653" s="403"/>
      <c r="W653" s="43" t="str">
        <f t="shared" si="194"/>
        <v/>
      </c>
      <c r="X653" s="43" t="str">
        <f t="shared" si="146"/>
        <v/>
      </c>
      <c r="Y653" s="43" t="str">
        <f t="shared" si="195"/>
        <v/>
      </c>
    </row>
    <row r="654" spans="1:25" hidden="1">
      <c r="A654" s="155">
        <v>741</v>
      </c>
      <c r="B654" s="156" t="s">
        <v>591</v>
      </c>
      <c r="C654" s="411" t="s">
        <v>813</v>
      </c>
      <c r="D654" s="351"/>
      <c r="E654" s="405"/>
      <c r="F654" s="406"/>
      <c r="G654" s="158"/>
      <c r="H654" s="465">
        <v>149.38</v>
      </c>
      <c r="I654" s="465">
        <f t="shared" si="197"/>
        <v>149.38</v>
      </c>
      <c r="J654" s="407">
        <f t="shared" si="198"/>
        <v>189.41</v>
      </c>
      <c r="K654" s="408" t="s">
        <v>23</v>
      </c>
      <c r="L654" s="152">
        <v>0</v>
      </c>
      <c r="M654" s="152"/>
      <c r="N654" s="402">
        <f t="shared" si="199"/>
        <v>0</v>
      </c>
      <c r="O654" s="402">
        <f t="shared" si="200"/>
        <v>0</v>
      </c>
      <c r="P654" s="403"/>
      <c r="Q654" s="152">
        <f t="shared" si="201"/>
        <v>0</v>
      </c>
      <c r="R654" s="152">
        <f t="shared" si="201"/>
        <v>0</v>
      </c>
      <c r="S654" s="402">
        <f t="shared" si="202"/>
        <v>0</v>
      </c>
      <c r="T654" s="404">
        <f t="shared" si="203"/>
        <v>0</v>
      </c>
      <c r="U654" s="403"/>
      <c r="W654" s="43" t="str">
        <f t="shared" si="194"/>
        <v/>
      </c>
      <c r="X654" s="43" t="str">
        <f t="shared" si="146"/>
        <v/>
      </c>
      <c r="Y654" s="43" t="str">
        <f t="shared" si="195"/>
        <v/>
      </c>
    </row>
    <row r="655" spans="1:25" ht="25.5" hidden="1">
      <c r="A655" s="155">
        <v>742</v>
      </c>
      <c r="B655" s="156" t="s">
        <v>591</v>
      </c>
      <c r="C655" s="411" t="s">
        <v>764</v>
      </c>
      <c r="D655" s="351"/>
      <c r="E655" s="405"/>
      <c r="F655" s="406"/>
      <c r="G655" s="158"/>
      <c r="H655" s="465">
        <v>45.23</v>
      </c>
      <c r="I655" s="465">
        <f t="shared" si="197"/>
        <v>45.23</v>
      </c>
      <c r="J655" s="407">
        <f t="shared" si="198"/>
        <v>57.35</v>
      </c>
      <c r="K655" s="408" t="s">
        <v>23</v>
      </c>
      <c r="L655" s="152">
        <v>0</v>
      </c>
      <c r="M655" s="152"/>
      <c r="N655" s="402">
        <f t="shared" si="199"/>
        <v>0</v>
      </c>
      <c r="O655" s="402">
        <f t="shared" si="200"/>
        <v>0</v>
      </c>
      <c r="P655" s="403"/>
      <c r="Q655" s="152">
        <f t="shared" si="201"/>
        <v>0</v>
      </c>
      <c r="R655" s="152">
        <f t="shared" si="201"/>
        <v>0</v>
      </c>
      <c r="S655" s="402">
        <f t="shared" si="202"/>
        <v>0</v>
      </c>
      <c r="T655" s="404">
        <f t="shared" si="203"/>
        <v>0</v>
      </c>
      <c r="U655" s="403"/>
      <c r="W655" s="43" t="str">
        <f t="shared" si="194"/>
        <v/>
      </c>
      <c r="X655" s="43" t="str">
        <f t="shared" si="146"/>
        <v/>
      </c>
      <c r="Y655" s="43" t="str">
        <f t="shared" si="195"/>
        <v/>
      </c>
    </row>
    <row r="656" spans="1:25" hidden="1">
      <c r="A656" s="155" t="s">
        <v>673</v>
      </c>
      <c r="B656" s="156" t="s">
        <v>591</v>
      </c>
      <c r="C656" s="411" t="s">
        <v>765</v>
      </c>
      <c r="D656" s="351"/>
      <c r="E656" s="405"/>
      <c r="F656" s="406"/>
      <c r="G656" s="158"/>
      <c r="H656" s="465">
        <v>18.16</v>
      </c>
      <c r="I656" s="465">
        <f t="shared" ref="I656:I657" si="204">IF(ISBLANK(H656),"",SUM(G656:H656))</f>
        <v>18.16</v>
      </c>
      <c r="J656" s="407">
        <f t="shared" si="198"/>
        <v>23.03</v>
      </c>
      <c r="K656" s="408" t="s">
        <v>23</v>
      </c>
      <c r="L656" s="152">
        <v>0</v>
      </c>
      <c r="M656" s="152"/>
      <c r="N656" s="402">
        <f t="shared" si="199"/>
        <v>0</v>
      </c>
      <c r="O656" s="402">
        <f t="shared" si="200"/>
        <v>0</v>
      </c>
      <c r="P656" s="403"/>
      <c r="Q656" s="152">
        <f t="shared" si="201"/>
        <v>0</v>
      </c>
      <c r="R656" s="152">
        <f t="shared" si="201"/>
        <v>0</v>
      </c>
      <c r="S656" s="402">
        <f t="shared" si="202"/>
        <v>0</v>
      </c>
      <c r="T656" s="404">
        <f t="shared" si="203"/>
        <v>0</v>
      </c>
      <c r="U656" s="403"/>
      <c r="W656" s="43" t="str">
        <f t="shared" si="194"/>
        <v/>
      </c>
      <c r="X656" s="43" t="str">
        <f t="shared" si="146"/>
        <v/>
      </c>
      <c r="Y656" s="43" t="str">
        <f t="shared" si="195"/>
        <v/>
      </c>
    </row>
    <row r="657" spans="1:25" ht="25.5" hidden="1">
      <c r="A657" s="155">
        <v>743</v>
      </c>
      <c r="B657" s="156" t="s">
        <v>591</v>
      </c>
      <c r="C657" s="411" t="s">
        <v>766</v>
      </c>
      <c r="D657" s="351"/>
      <c r="E657" s="405"/>
      <c r="F657" s="406"/>
      <c r="G657" s="158"/>
      <c r="H657" s="465">
        <v>222.01</v>
      </c>
      <c r="I657" s="465">
        <f t="shared" si="204"/>
        <v>222.01</v>
      </c>
      <c r="J657" s="407">
        <f t="shared" si="198"/>
        <v>281.51</v>
      </c>
      <c r="K657" s="408" t="s">
        <v>23</v>
      </c>
      <c r="L657" s="152">
        <v>0</v>
      </c>
      <c r="M657" s="152"/>
      <c r="N657" s="402">
        <f t="shared" si="199"/>
        <v>0</v>
      </c>
      <c r="O657" s="402">
        <f t="shared" si="200"/>
        <v>0</v>
      </c>
      <c r="P657" s="403"/>
      <c r="Q657" s="152">
        <f t="shared" si="201"/>
        <v>0</v>
      </c>
      <c r="R657" s="152">
        <f t="shared" si="201"/>
        <v>0</v>
      </c>
      <c r="S657" s="402">
        <f t="shared" si="202"/>
        <v>0</v>
      </c>
      <c r="T657" s="404">
        <f t="shared" si="203"/>
        <v>0</v>
      </c>
      <c r="U657" s="403"/>
      <c r="W657" s="43" t="str">
        <f t="shared" si="194"/>
        <v/>
      </c>
      <c r="X657" s="43" t="str">
        <f t="shared" si="146"/>
        <v/>
      </c>
      <c r="Y657" s="43" t="str">
        <f t="shared" si="195"/>
        <v/>
      </c>
    </row>
    <row r="658" spans="1:25" hidden="1">
      <c r="A658" s="155" t="s">
        <v>674</v>
      </c>
      <c r="B658" s="156" t="s">
        <v>591</v>
      </c>
      <c r="C658" s="411" t="s">
        <v>767</v>
      </c>
      <c r="D658" s="351"/>
      <c r="E658" s="405"/>
      <c r="F658" s="406"/>
      <c r="G658" s="158"/>
      <c r="H658" s="465">
        <v>88.74</v>
      </c>
      <c r="I658" s="465">
        <f t="shared" ref="I658:I697" si="205">IF(ISBLANK(H658),"",SUM(G658:H658))</f>
        <v>88.74</v>
      </c>
      <c r="J658" s="407">
        <f t="shared" si="198"/>
        <v>112.52</v>
      </c>
      <c r="K658" s="408" t="s">
        <v>23</v>
      </c>
      <c r="L658" s="152">
        <v>0</v>
      </c>
      <c r="M658" s="152"/>
      <c r="N658" s="402">
        <f t="shared" si="199"/>
        <v>0</v>
      </c>
      <c r="O658" s="402">
        <f t="shared" si="200"/>
        <v>0</v>
      </c>
      <c r="P658" s="403"/>
      <c r="Q658" s="152">
        <f t="shared" si="201"/>
        <v>0</v>
      </c>
      <c r="R658" s="152">
        <f t="shared" si="201"/>
        <v>0</v>
      </c>
      <c r="S658" s="402">
        <f t="shared" si="202"/>
        <v>0</v>
      </c>
      <c r="T658" s="404">
        <f t="shared" si="203"/>
        <v>0</v>
      </c>
      <c r="U658" s="403"/>
      <c r="W658" s="43" t="str">
        <f t="shared" si="194"/>
        <v/>
      </c>
      <c r="X658" s="43" t="str">
        <f t="shared" si="146"/>
        <v/>
      </c>
      <c r="Y658" s="43" t="str">
        <f t="shared" si="195"/>
        <v/>
      </c>
    </row>
    <row r="659" spans="1:25" ht="25.5" hidden="1">
      <c r="A659" s="155">
        <v>744</v>
      </c>
      <c r="B659" s="156" t="s">
        <v>591</v>
      </c>
      <c r="C659" s="411" t="s">
        <v>768</v>
      </c>
      <c r="D659" s="351"/>
      <c r="E659" s="405"/>
      <c r="F659" s="406"/>
      <c r="G659" s="158"/>
      <c r="H659" s="465">
        <v>421.76</v>
      </c>
      <c r="I659" s="465">
        <f t="shared" si="205"/>
        <v>421.76</v>
      </c>
      <c r="J659" s="407">
        <f t="shared" si="198"/>
        <v>534.79</v>
      </c>
      <c r="K659" s="408" t="s">
        <v>23</v>
      </c>
      <c r="L659" s="152">
        <v>0</v>
      </c>
      <c r="M659" s="152"/>
      <c r="N659" s="402">
        <f t="shared" si="199"/>
        <v>0</v>
      </c>
      <c r="O659" s="402">
        <f t="shared" si="200"/>
        <v>0</v>
      </c>
      <c r="P659" s="403"/>
      <c r="Q659" s="152">
        <f t="shared" si="201"/>
        <v>0</v>
      </c>
      <c r="R659" s="152">
        <f t="shared" si="201"/>
        <v>0</v>
      </c>
      <c r="S659" s="402">
        <f t="shared" si="202"/>
        <v>0</v>
      </c>
      <c r="T659" s="404">
        <f t="shared" si="203"/>
        <v>0</v>
      </c>
      <c r="U659" s="403"/>
      <c r="W659" s="43" t="str">
        <f t="shared" si="194"/>
        <v/>
      </c>
      <c r="X659" s="43" t="str">
        <f t="shared" si="146"/>
        <v/>
      </c>
      <c r="Y659" s="43" t="str">
        <f t="shared" si="195"/>
        <v/>
      </c>
    </row>
    <row r="660" spans="1:25" ht="25.5" hidden="1">
      <c r="A660" s="155" t="s">
        <v>675</v>
      </c>
      <c r="B660" s="156" t="s">
        <v>591</v>
      </c>
      <c r="C660" s="411" t="s">
        <v>769</v>
      </c>
      <c r="D660" s="351"/>
      <c r="E660" s="405"/>
      <c r="F660" s="406"/>
      <c r="G660" s="158"/>
      <c r="H660" s="465">
        <v>168.57</v>
      </c>
      <c r="I660" s="465">
        <f t="shared" si="205"/>
        <v>168.57</v>
      </c>
      <c r="J660" s="407">
        <f t="shared" si="198"/>
        <v>213.75</v>
      </c>
      <c r="K660" s="408" t="s">
        <v>23</v>
      </c>
      <c r="L660" s="152">
        <v>0</v>
      </c>
      <c r="M660" s="152"/>
      <c r="N660" s="402">
        <f t="shared" si="199"/>
        <v>0</v>
      </c>
      <c r="O660" s="402">
        <f t="shared" si="200"/>
        <v>0</v>
      </c>
      <c r="P660" s="403"/>
      <c r="Q660" s="152">
        <f t="shared" si="201"/>
        <v>0</v>
      </c>
      <c r="R660" s="152">
        <f t="shared" si="201"/>
        <v>0</v>
      </c>
      <c r="S660" s="402">
        <f t="shared" si="202"/>
        <v>0</v>
      </c>
      <c r="T660" s="404">
        <f t="shared" si="203"/>
        <v>0</v>
      </c>
      <c r="U660" s="403"/>
      <c r="W660" s="43" t="str">
        <f t="shared" si="194"/>
        <v/>
      </c>
      <c r="X660" s="43" t="str">
        <f t="shared" si="146"/>
        <v/>
      </c>
      <c r="Y660" s="43" t="str">
        <f t="shared" si="195"/>
        <v/>
      </c>
    </row>
    <row r="661" spans="1:25" hidden="1">
      <c r="A661" s="155">
        <v>745</v>
      </c>
      <c r="B661" s="156" t="s">
        <v>591</v>
      </c>
      <c r="C661" s="411" t="s">
        <v>770</v>
      </c>
      <c r="D661" s="351"/>
      <c r="E661" s="405"/>
      <c r="F661" s="406"/>
      <c r="G661" s="158"/>
      <c r="H661" s="465">
        <v>481.03</v>
      </c>
      <c r="I661" s="465">
        <f t="shared" si="205"/>
        <v>481.03</v>
      </c>
      <c r="J661" s="407">
        <f t="shared" si="198"/>
        <v>609.95000000000005</v>
      </c>
      <c r="K661" s="408" t="s">
        <v>23</v>
      </c>
      <c r="L661" s="152">
        <v>0</v>
      </c>
      <c r="M661" s="152"/>
      <c r="N661" s="402">
        <f t="shared" si="199"/>
        <v>0</v>
      </c>
      <c r="O661" s="402">
        <f t="shared" si="200"/>
        <v>0</v>
      </c>
      <c r="P661" s="403"/>
      <c r="Q661" s="152">
        <f t="shared" si="201"/>
        <v>0</v>
      </c>
      <c r="R661" s="152">
        <f t="shared" si="201"/>
        <v>0</v>
      </c>
      <c r="S661" s="402">
        <f t="shared" si="202"/>
        <v>0</v>
      </c>
      <c r="T661" s="404">
        <f t="shared" si="203"/>
        <v>0</v>
      </c>
      <c r="U661" s="403"/>
      <c r="W661" s="43" t="str">
        <f t="shared" si="194"/>
        <v/>
      </c>
      <c r="X661" s="43" t="str">
        <f t="shared" si="146"/>
        <v/>
      </c>
      <c r="Y661" s="43" t="str">
        <f t="shared" si="195"/>
        <v/>
      </c>
    </row>
    <row r="662" spans="1:25" hidden="1">
      <c r="A662" s="155" t="s">
        <v>676</v>
      </c>
      <c r="B662" s="156" t="s">
        <v>591</v>
      </c>
      <c r="C662" s="411" t="s">
        <v>771</v>
      </c>
      <c r="D662" s="351"/>
      <c r="E662" s="405"/>
      <c r="F662" s="406"/>
      <c r="G662" s="158"/>
      <c r="H662" s="465">
        <v>192.55</v>
      </c>
      <c r="I662" s="465">
        <f t="shared" si="205"/>
        <v>192.55</v>
      </c>
      <c r="J662" s="407">
        <f t="shared" si="198"/>
        <v>244.15</v>
      </c>
      <c r="K662" s="408" t="s">
        <v>23</v>
      </c>
      <c r="L662" s="152">
        <v>0</v>
      </c>
      <c r="M662" s="152"/>
      <c r="N662" s="402">
        <f t="shared" si="199"/>
        <v>0</v>
      </c>
      <c r="O662" s="402">
        <f t="shared" si="200"/>
        <v>0</v>
      </c>
      <c r="P662" s="403"/>
      <c r="Q662" s="152">
        <f t="shared" si="201"/>
        <v>0</v>
      </c>
      <c r="R662" s="152">
        <f t="shared" si="201"/>
        <v>0</v>
      </c>
      <c r="S662" s="402">
        <f t="shared" si="202"/>
        <v>0</v>
      </c>
      <c r="T662" s="404">
        <f t="shared" si="203"/>
        <v>0</v>
      </c>
      <c r="U662" s="403"/>
      <c r="W662" s="43" t="str">
        <f t="shared" si="194"/>
        <v/>
      </c>
      <c r="X662" s="43" t="str">
        <f t="shared" si="146"/>
        <v/>
      </c>
      <c r="Y662" s="43" t="str">
        <f t="shared" si="195"/>
        <v/>
      </c>
    </row>
    <row r="663" spans="1:25" hidden="1">
      <c r="A663" s="155">
        <v>746</v>
      </c>
      <c r="B663" s="156" t="s">
        <v>591</v>
      </c>
      <c r="C663" s="411" t="s">
        <v>772</v>
      </c>
      <c r="D663" s="351"/>
      <c r="E663" s="405"/>
      <c r="F663" s="406"/>
      <c r="G663" s="158"/>
      <c r="H663" s="465">
        <v>577.30999999999995</v>
      </c>
      <c r="I663" s="465">
        <f t="shared" si="205"/>
        <v>577.30999999999995</v>
      </c>
      <c r="J663" s="407">
        <f t="shared" si="198"/>
        <v>732.03</v>
      </c>
      <c r="K663" s="408" t="s">
        <v>23</v>
      </c>
      <c r="L663" s="152">
        <v>0</v>
      </c>
      <c r="M663" s="152"/>
      <c r="N663" s="402">
        <f t="shared" si="199"/>
        <v>0</v>
      </c>
      <c r="O663" s="402">
        <f t="shared" si="200"/>
        <v>0</v>
      </c>
      <c r="P663" s="403"/>
      <c r="Q663" s="152">
        <f t="shared" si="201"/>
        <v>0</v>
      </c>
      <c r="R663" s="152">
        <f t="shared" si="201"/>
        <v>0</v>
      </c>
      <c r="S663" s="402">
        <f t="shared" si="202"/>
        <v>0</v>
      </c>
      <c r="T663" s="404">
        <f t="shared" si="203"/>
        <v>0</v>
      </c>
      <c r="U663" s="403"/>
      <c r="W663" s="43" t="str">
        <f t="shared" si="194"/>
        <v/>
      </c>
      <c r="X663" s="43" t="str">
        <f t="shared" si="146"/>
        <v/>
      </c>
      <c r="Y663" s="43" t="str">
        <f t="shared" si="195"/>
        <v/>
      </c>
    </row>
    <row r="664" spans="1:25" hidden="1">
      <c r="A664" s="155" t="s">
        <v>677</v>
      </c>
      <c r="B664" s="156" t="s">
        <v>591</v>
      </c>
      <c r="C664" s="411" t="s">
        <v>773</v>
      </c>
      <c r="D664" s="351"/>
      <c r="E664" s="405"/>
      <c r="F664" s="406"/>
      <c r="G664" s="158"/>
      <c r="H664" s="465">
        <v>230.92</v>
      </c>
      <c r="I664" s="465">
        <f t="shared" si="205"/>
        <v>230.92</v>
      </c>
      <c r="J664" s="407">
        <f t="shared" si="198"/>
        <v>292.81</v>
      </c>
      <c r="K664" s="408" t="s">
        <v>23</v>
      </c>
      <c r="L664" s="152">
        <v>0</v>
      </c>
      <c r="M664" s="152"/>
      <c r="N664" s="402">
        <f t="shared" si="199"/>
        <v>0</v>
      </c>
      <c r="O664" s="402">
        <f t="shared" si="200"/>
        <v>0</v>
      </c>
      <c r="P664" s="403"/>
      <c r="Q664" s="152">
        <f t="shared" si="201"/>
        <v>0</v>
      </c>
      <c r="R664" s="152">
        <f t="shared" si="201"/>
        <v>0</v>
      </c>
      <c r="S664" s="402">
        <f t="shared" si="202"/>
        <v>0</v>
      </c>
      <c r="T664" s="404">
        <f t="shared" si="203"/>
        <v>0</v>
      </c>
      <c r="U664" s="403"/>
      <c r="W664" s="43" t="str">
        <f t="shared" si="194"/>
        <v/>
      </c>
      <c r="X664" s="43" t="str">
        <f t="shared" si="146"/>
        <v/>
      </c>
      <c r="Y664" s="43" t="str">
        <f t="shared" si="195"/>
        <v/>
      </c>
    </row>
    <row r="665" spans="1:25" hidden="1">
      <c r="A665" s="155">
        <v>747</v>
      </c>
      <c r="B665" s="156" t="s">
        <v>591</v>
      </c>
      <c r="C665" s="411" t="s">
        <v>774</v>
      </c>
      <c r="D665" s="351"/>
      <c r="E665" s="405"/>
      <c r="F665" s="406"/>
      <c r="G665" s="158"/>
      <c r="H665" s="465">
        <v>867.84</v>
      </c>
      <c r="I665" s="465">
        <f t="shared" si="205"/>
        <v>867.84</v>
      </c>
      <c r="J665" s="407">
        <f t="shared" si="198"/>
        <v>1100.42</v>
      </c>
      <c r="K665" s="408" t="s">
        <v>23</v>
      </c>
      <c r="L665" s="152">
        <v>0</v>
      </c>
      <c r="M665" s="152"/>
      <c r="N665" s="402">
        <f t="shared" si="199"/>
        <v>0</v>
      </c>
      <c r="O665" s="402">
        <f t="shared" si="200"/>
        <v>0</v>
      </c>
      <c r="P665" s="403"/>
      <c r="Q665" s="152">
        <f t="shared" si="201"/>
        <v>0</v>
      </c>
      <c r="R665" s="152">
        <f t="shared" si="201"/>
        <v>0</v>
      </c>
      <c r="S665" s="402">
        <f t="shared" si="202"/>
        <v>0</v>
      </c>
      <c r="T665" s="404">
        <f t="shared" si="203"/>
        <v>0</v>
      </c>
      <c r="U665" s="403"/>
      <c r="W665" s="43" t="str">
        <f t="shared" si="194"/>
        <v/>
      </c>
      <c r="X665" s="43" t="str">
        <f t="shared" si="146"/>
        <v/>
      </c>
      <c r="Y665" s="43" t="str">
        <f t="shared" si="195"/>
        <v/>
      </c>
    </row>
    <row r="666" spans="1:25" hidden="1">
      <c r="A666" s="155" t="s">
        <v>678</v>
      </c>
      <c r="B666" s="156" t="s">
        <v>591</v>
      </c>
      <c r="C666" s="411" t="s">
        <v>775</v>
      </c>
      <c r="D666" s="351"/>
      <c r="E666" s="405"/>
      <c r="F666" s="406"/>
      <c r="G666" s="158"/>
      <c r="H666" s="465">
        <v>347.07</v>
      </c>
      <c r="I666" s="465">
        <f t="shared" si="205"/>
        <v>347.07</v>
      </c>
      <c r="J666" s="407">
        <f t="shared" si="198"/>
        <v>440.08</v>
      </c>
      <c r="K666" s="408" t="s">
        <v>23</v>
      </c>
      <c r="L666" s="152">
        <v>0</v>
      </c>
      <c r="M666" s="152"/>
      <c r="N666" s="402">
        <f t="shared" si="199"/>
        <v>0</v>
      </c>
      <c r="O666" s="402">
        <f t="shared" si="200"/>
        <v>0</v>
      </c>
      <c r="P666" s="403"/>
      <c r="Q666" s="152">
        <f t="shared" ref="Q666:R681" si="206">L666</f>
        <v>0</v>
      </c>
      <c r="R666" s="152">
        <f t="shared" si="206"/>
        <v>0</v>
      </c>
      <c r="S666" s="402">
        <f t="shared" si="202"/>
        <v>0</v>
      </c>
      <c r="T666" s="404">
        <f t="shared" si="203"/>
        <v>0</v>
      </c>
      <c r="U666" s="403"/>
      <c r="W666" s="43" t="str">
        <f t="shared" si="194"/>
        <v/>
      </c>
      <c r="X666" s="43" t="str">
        <f t="shared" si="146"/>
        <v/>
      </c>
      <c r="Y666" s="43" t="str">
        <f t="shared" si="195"/>
        <v/>
      </c>
    </row>
    <row r="667" spans="1:25" hidden="1">
      <c r="A667" s="155">
        <v>748</v>
      </c>
      <c r="B667" s="156" t="s">
        <v>591</v>
      </c>
      <c r="C667" s="411" t="s">
        <v>776</v>
      </c>
      <c r="D667" s="351"/>
      <c r="E667" s="405"/>
      <c r="F667" s="406"/>
      <c r="G667" s="158"/>
      <c r="H667" s="465">
        <v>69.89</v>
      </c>
      <c r="I667" s="465">
        <f t="shared" si="205"/>
        <v>69.89</v>
      </c>
      <c r="J667" s="407">
        <f t="shared" si="198"/>
        <v>88.62</v>
      </c>
      <c r="K667" s="408" t="s">
        <v>23</v>
      </c>
      <c r="L667" s="152">
        <v>0</v>
      </c>
      <c r="M667" s="152"/>
      <c r="N667" s="402">
        <f t="shared" si="199"/>
        <v>0</v>
      </c>
      <c r="O667" s="402">
        <f t="shared" si="200"/>
        <v>0</v>
      </c>
      <c r="P667" s="403"/>
      <c r="Q667" s="152">
        <f t="shared" si="206"/>
        <v>0</v>
      </c>
      <c r="R667" s="152">
        <f t="shared" si="206"/>
        <v>0</v>
      </c>
      <c r="S667" s="402">
        <f t="shared" si="202"/>
        <v>0</v>
      </c>
      <c r="T667" s="404">
        <f t="shared" si="203"/>
        <v>0</v>
      </c>
      <c r="U667" s="403"/>
      <c r="W667" s="43" t="str">
        <f t="shared" si="194"/>
        <v/>
      </c>
      <c r="X667" s="43" t="str">
        <f t="shared" si="146"/>
        <v/>
      </c>
      <c r="Y667" s="43" t="str">
        <f t="shared" si="195"/>
        <v/>
      </c>
    </row>
    <row r="668" spans="1:25" hidden="1">
      <c r="A668" s="155" t="s">
        <v>679</v>
      </c>
      <c r="B668" s="156" t="s">
        <v>591</v>
      </c>
      <c r="C668" s="411" t="s">
        <v>777</v>
      </c>
      <c r="D668" s="351"/>
      <c r="E668" s="405"/>
      <c r="F668" s="406"/>
      <c r="G668" s="158"/>
      <c r="H668" s="465">
        <v>28.09</v>
      </c>
      <c r="I668" s="465">
        <f t="shared" si="205"/>
        <v>28.09</v>
      </c>
      <c r="J668" s="407">
        <f t="shared" si="198"/>
        <v>35.619999999999997</v>
      </c>
      <c r="K668" s="408" t="s">
        <v>23</v>
      </c>
      <c r="L668" s="152">
        <v>0</v>
      </c>
      <c r="M668" s="152"/>
      <c r="N668" s="402">
        <f t="shared" si="199"/>
        <v>0</v>
      </c>
      <c r="O668" s="402">
        <f t="shared" si="200"/>
        <v>0</v>
      </c>
      <c r="P668" s="403"/>
      <c r="Q668" s="152">
        <f t="shared" si="206"/>
        <v>0</v>
      </c>
      <c r="R668" s="152">
        <f t="shared" si="206"/>
        <v>0</v>
      </c>
      <c r="S668" s="402">
        <f t="shared" si="202"/>
        <v>0</v>
      </c>
      <c r="T668" s="404">
        <f t="shared" si="203"/>
        <v>0</v>
      </c>
      <c r="U668" s="403"/>
      <c r="W668" s="43" t="str">
        <f t="shared" si="194"/>
        <v/>
      </c>
      <c r="X668" s="43" t="str">
        <f t="shared" si="146"/>
        <v/>
      </c>
      <c r="Y668" s="43" t="str">
        <f t="shared" si="195"/>
        <v/>
      </c>
    </row>
    <row r="669" spans="1:25" hidden="1">
      <c r="A669" s="155">
        <v>759</v>
      </c>
      <c r="B669" s="156" t="s">
        <v>591</v>
      </c>
      <c r="C669" s="411" t="s">
        <v>814</v>
      </c>
      <c r="D669" s="351"/>
      <c r="E669" s="405"/>
      <c r="F669" s="406"/>
      <c r="G669" s="158"/>
      <c r="H669" s="465">
        <v>536.12</v>
      </c>
      <c r="I669" s="465">
        <f t="shared" si="205"/>
        <v>536.12</v>
      </c>
      <c r="J669" s="407">
        <f t="shared" si="198"/>
        <v>679.8</v>
      </c>
      <c r="K669" s="408" t="s">
        <v>23</v>
      </c>
      <c r="L669" s="152">
        <v>0</v>
      </c>
      <c r="M669" s="152"/>
      <c r="N669" s="402">
        <f t="shared" si="199"/>
        <v>0</v>
      </c>
      <c r="O669" s="402">
        <f t="shared" si="200"/>
        <v>0</v>
      </c>
      <c r="P669" s="403"/>
      <c r="Q669" s="152">
        <f t="shared" si="206"/>
        <v>0</v>
      </c>
      <c r="R669" s="152">
        <f t="shared" si="206"/>
        <v>0</v>
      </c>
      <c r="S669" s="402">
        <f t="shared" si="202"/>
        <v>0</v>
      </c>
      <c r="T669" s="404">
        <f t="shared" si="203"/>
        <v>0</v>
      </c>
      <c r="U669" s="403"/>
      <c r="W669" s="43" t="str">
        <f t="shared" si="194"/>
        <v/>
      </c>
      <c r="X669" s="43" t="str">
        <f t="shared" si="146"/>
        <v/>
      </c>
      <c r="Y669" s="43" t="str">
        <f t="shared" si="195"/>
        <v/>
      </c>
    </row>
    <row r="670" spans="1:25" hidden="1">
      <c r="A670" s="155" t="s">
        <v>680</v>
      </c>
      <c r="B670" s="156" t="s">
        <v>591</v>
      </c>
      <c r="C670" s="411" t="s">
        <v>778</v>
      </c>
      <c r="D670" s="351"/>
      <c r="E670" s="405"/>
      <c r="F670" s="406"/>
      <c r="G670" s="158"/>
      <c r="H670" s="465">
        <v>70.239999999999995</v>
      </c>
      <c r="I670" s="465">
        <f t="shared" si="205"/>
        <v>70.239999999999995</v>
      </c>
      <c r="J670" s="407">
        <f t="shared" si="198"/>
        <v>89.06</v>
      </c>
      <c r="K670" s="408" t="s">
        <v>23</v>
      </c>
      <c r="L670" s="152">
        <v>0</v>
      </c>
      <c r="M670" s="152"/>
      <c r="N670" s="402">
        <f t="shared" si="199"/>
        <v>0</v>
      </c>
      <c r="O670" s="402">
        <f t="shared" si="200"/>
        <v>0</v>
      </c>
      <c r="P670" s="403"/>
      <c r="Q670" s="152">
        <f t="shared" si="206"/>
        <v>0</v>
      </c>
      <c r="R670" s="152">
        <f t="shared" si="206"/>
        <v>0</v>
      </c>
      <c r="S670" s="402">
        <f t="shared" si="202"/>
        <v>0</v>
      </c>
      <c r="T670" s="404">
        <f t="shared" si="203"/>
        <v>0</v>
      </c>
      <c r="U670" s="403"/>
      <c r="W670" s="43" t="str">
        <f t="shared" si="194"/>
        <v/>
      </c>
      <c r="X670" s="43" t="str">
        <f t="shared" si="146"/>
        <v/>
      </c>
      <c r="Y670" s="43" t="str">
        <f t="shared" si="195"/>
        <v/>
      </c>
    </row>
    <row r="671" spans="1:25" hidden="1">
      <c r="A671" s="155">
        <v>751</v>
      </c>
      <c r="B671" s="156" t="s">
        <v>591</v>
      </c>
      <c r="C671" s="411" t="s">
        <v>702</v>
      </c>
      <c r="D671" s="351"/>
      <c r="E671" s="405"/>
      <c r="F671" s="406"/>
      <c r="G671" s="158"/>
      <c r="H671" s="465">
        <v>11.31</v>
      </c>
      <c r="I671" s="465">
        <f t="shared" si="205"/>
        <v>11.31</v>
      </c>
      <c r="J671" s="407">
        <f t="shared" si="198"/>
        <v>14.34</v>
      </c>
      <c r="K671" s="408" t="s">
        <v>23</v>
      </c>
      <c r="L671" s="152">
        <v>0</v>
      </c>
      <c r="M671" s="152"/>
      <c r="N671" s="402">
        <f t="shared" si="199"/>
        <v>0</v>
      </c>
      <c r="O671" s="402">
        <f t="shared" si="200"/>
        <v>0</v>
      </c>
      <c r="P671" s="403"/>
      <c r="Q671" s="152">
        <f t="shared" si="206"/>
        <v>0</v>
      </c>
      <c r="R671" s="152">
        <f t="shared" si="206"/>
        <v>0</v>
      </c>
      <c r="S671" s="402">
        <f t="shared" si="202"/>
        <v>0</v>
      </c>
      <c r="T671" s="404">
        <f t="shared" si="203"/>
        <v>0</v>
      </c>
      <c r="U671" s="403"/>
      <c r="W671" s="43" t="str">
        <f t="shared" si="194"/>
        <v/>
      </c>
      <c r="X671" s="43" t="str">
        <f t="shared" si="146"/>
        <v/>
      </c>
      <c r="Y671" s="43" t="str">
        <f t="shared" si="195"/>
        <v/>
      </c>
    </row>
    <row r="672" spans="1:25" hidden="1">
      <c r="A672" s="155" t="s">
        <v>681</v>
      </c>
      <c r="B672" s="156" t="s">
        <v>591</v>
      </c>
      <c r="C672" s="411" t="s">
        <v>687</v>
      </c>
      <c r="D672" s="351"/>
      <c r="E672" s="405"/>
      <c r="F672" s="406"/>
      <c r="G672" s="158"/>
      <c r="H672" s="465">
        <v>4.45</v>
      </c>
      <c r="I672" s="465">
        <f t="shared" si="205"/>
        <v>4.45</v>
      </c>
      <c r="J672" s="407">
        <f t="shared" si="198"/>
        <v>5.64</v>
      </c>
      <c r="K672" s="408" t="s">
        <v>23</v>
      </c>
      <c r="L672" s="152">
        <v>0</v>
      </c>
      <c r="M672" s="152"/>
      <c r="N672" s="402">
        <f t="shared" si="199"/>
        <v>0</v>
      </c>
      <c r="O672" s="402">
        <f t="shared" si="200"/>
        <v>0</v>
      </c>
      <c r="P672" s="403"/>
      <c r="Q672" s="152">
        <f t="shared" si="206"/>
        <v>0</v>
      </c>
      <c r="R672" s="152">
        <f t="shared" si="206"/>
        <v>0</v>
      </c>
      <c r="S672" s="402">
        <f t="shared" si="202"/>
        <v>0</v>
      </c>
      <c r="T672" s="404">
        <f t="shared" si="203"/>
        <v>0</v>
      </c>
      <c r="U672" s="403"/>
      <c r="W672" s="43" t="str">
        <f t="shared" si="194"/>
        <v/>
      </c>
      <c r="X672" s="43" t="str">
        <f t="shared" si="146"/>
        <v/>
      </c>
      <c r="Y672" s="43" t="str">
        <f t="shared" si="195"/>
        <v/>
      </c>
    </row>
    <row r="673" spans="1:25" hidden="1">
      <c r="A673" s="155">
        <v>752</v>
      </c>
      <c r="B673" s="156" t="s">
        <v>591</v>
      </c>
      <c r="C673" s="411" t="s">
        <v>703</v>
      </c>
      <c r="D673" s="351"/>
      <c r="E673" s="405"/>
      <c r="F673" s="406"/>
      <c r="G673" s="158"/>
      <c r="H673" s="465">
        <v>28.78</v>
      </c>
      <c r="I673" s="465">
        <f t="shared" si="205"/>
        <v>28.78</v>
      </c>
      <c r="J673" s="407">
        <f t="shared" si="198"/>
        <v>36.49</v>
      </c>
      <c r="K673" s="408" t="s">
        <v>23</v>
      </c>
      <c r="L673" s="152">
        <v>0</v>
      </c>
      <c r="M673" s="152"/>
      <c r="N673" s="402">
        <f t="shared" si="199"/>
        <v>0</v>
      </c>
      <c r="O673" s="402">
        <f t="shared" si="200"/>
        <v>0</v>
      </c>
      <c r="P673" s="403"/>
      <c r="Q673" s="152">
        <f t="shared" si="206"/>
        <v>0</v>
      </c>
      <c r="R673" s="152">
        <f t="shared" si="206"/>
        <v>0</v>
      </c>
      <c r="S673" s="402">
        <f t="shared" si="202"/>
        <v>0</v>
      </c>
      <c r="T673" s="404">
        <f t="shared" si="203"/>
        <v>0</v>
      </c>
      <c r="U673" s="403"/>
      <c r="W673" s="43" t="str">
        <f t="shared" si="194"/>
        <v/>
      </c>
      <c r="X673" s="43" t="str">
        <f t="shared" si="146"/>
        <v/>
      </c>
      <c r="Y673" s="43" t="str">
        <f t="shared" si="195"/>
        <v/>
      </c>
    </row>
    <row r="674" spans="1:25" hidden="1">
      <c r="A674" s="155" t="s">
        <v>682</v>
      </c>
      <c r="B674" s="156" t="s">
        <v>591</v>
      </c>
      <c r="C674" s="411" t="s">
        <v>688</v>
      </c>
      <c r="D674" s="351"/>
      <c r="E674" s="405"/>
      <c r="F674" s="406"/>
      <c r="G674" s="158"/>
      <c r="H674" s="465">
        <v>28.78</v>
      </c>
      <c r="I674" s="465">
        <f t="shared" si="205"/>
        <v>28.78</v>
      </c>
      <c r="J674" s="407">
        <f t="shared" si="198"/>
        <v>36.49</v>
      </c>
      <c r="K674" s="408" t="s">
        <v>23</v>
      </c>
      <c r="L674" s="152">
        <v>0</v>
      </c>
      <c r="M674" s="152"/>
      <c r="N674" s="402">
        <f t="shared" si="199"/>
        <v>0</v>
      </c>
      <c r="O674" s="402">
        <f t="shared" si="200"/>
        <v>0</v>
      </c>
      <c r="P674" s="403"/>
      <c r="Q674" s="152">
        <f t="shared" si="206"/>
        <v>0</v>
      </c>
      <c r="R674" s="152">
        <f t="shared" si="206"/>
        <v>0</v>
      </c>
      <c r="S674" s="402">
        <f t="shared" si="202"/>
        <v>0</v>
      </c>
      <c r="T674" s="404">
        <f t="shared" si="203"/>
        <v>0</v>
      </c>
      <c r="U674" s="403"/>
      <c r="W674" s="43" t="str">
        <f t="shared" si="194"/>
        <v/>
      </c>
      <c r="X674" s="43" t="str">
        <f t="shared" si="146"/>
        <v/>
      </c>
      <c r="Y674" s="43" t="str">
        <f t="shared" si="195"/>
        <v/>
      </c>
    </row>
    <row r="675" spans="1:25" hidden="1">
      <c r="A675" s="155">
        <v>753</v>
      </c>
      <c r="B675" s="156" t="s">
        <v>591</v>
      </c>
      <c r="C675" s="411" t="s">
        <v>705</v>
      </c>
      <c r="D675" s="351"/>
      <c r="E675" s="405"/>
      <c r="F675" s="406"/>
      <c r="G675" s="158"/>
      <c r="H675" s="465">
        <v>62.7</v>
      </c>
      <c r="I675" s="465">
        <f t="shared" si="205"/>
        <v>62.7</v>
      </c>
      <c r="J675" s="407">
        <f t="shared" si="198"/>
        <v>79.5</v>
      </c>
      <c r="K675" s="408" t="s">
        <v>23</v>
      </c>
      <c r="L675" s="152">
        <v>0</v>
      </c>
      <c r="M675" s="152"/>
      <c r="N675" s="402">
        <f t="shared" si="199"/>
        <v>0</v>
      </c>
      <c r="O675" s="402">
        <f t="shared" si="200"/>
        <v>0</v>
      </c>
      <c r="P675" s="403"/>
      <c r="Q675" s="152">
        <f t="shared" si="206"/>
        <v>0</v>
      </c>
      <c r="R675" s="152">
        <f t="shared" si="206"/>
        <v>0</v>
      </c>
      <c r="S675" s="402">
        <f t="shared" si="202"/>
        <v>0</v>
      </c>
      <c r="T675" s="404">
        <f t="shared" si="203"/>
        <v>0</v>
      </c>
      <c r="U675" s="403"/>
      <c r="W675" s="43" t="str">
        <f t="shared" si="194"/>
        <v/>
      </c>
      <c r="X675" s="43" t="str">
        <f t="shared" si="146"/>
        <v/>
      </c>
      <c r="Y675" s="43" t="str">
        <f t="shared" si="195"/>
        <v/>
      </c>
    </row>
    <row r="676" spans="1:25" hidden="1">
      <c r="A676" s="155" t="s">
        <v>683</v>
      </c>
      <c r="B676" s="156" t="s">
        <v>591</v>
      </c>
      <c r="C676" s="411" t="s">
        <v>689</v>
      </c>
      <c r="D676" s="351"/>
      <c r="E676" s="405"/>
      <c r="F676" s="406"/>
      <c r="G676" s="158"/>
      <c r="H676" s="465">
        <v>62.7</v>
      </c>
      <c r="I676" s="465">
        <f t="shared" si="205"/>
        <v>62.7</v>
      </c>
      <c r="J676" s="407">
        <f t="shared" si="198"/>
        <v>79.5</v>
      </c>
      <c r="K676" s="408" t="s">
        <v>23</v>
      </c>
      <c r="L676" s="152">
        <v>0</v>
      </c>
      <c r="M676" s="152"/>
      <c r="N676" s="402">
        <f t="shared" si="199"/>
        <v>0</v>
      </c>
      <c r="O676" s="402">
        <f t="shared" si="200"/>
        <v>0</v>
      </c>
      <c r="P676" s="403"/>
      <c r="Q676" s="152">
        <f t="shared" si="206"/>
        <v>0</v>
      </c>
      <c r="R676" s="152">
        <f t="shared" si="206"/>
        <v>0</v>
      </c>
      <c r="S676" s="402">
        <f t="shared" si="202"/>
        <v>0</v>
      </c>
      <c r="T676" s="404">
        <f t="shared" si="203"/>
        <v>0</v>
      </c>
      <c r="U676" s="403"/>
      <c r="W676" s="43" t="str">
        <f t="shared" si="194"/>
        <v/>
      </c>
      <c r="X676" s="43" t="str">
        <f t="shared" si="146"/>
        <v/>
      </c>
      <c r="Y676" s="43" t="str">
        <f t="shared" si="195"/>
        <v/>
      </c>
    </row>
    <row r="677" spans="1:25" hidden="1">
      <c r="A677" s="155">
        <v>754</v>
      </c>
      <c r="B677" s="156" t="s">
        <v>591</v>
      </c>
      <c r="C677" s="411" t="s">
        <v>815</v>
      </c>
      <c r="D677" s="351"/>
      <c r="E677" s="405"/>
      <c r="F677" s="406"/>
      <c r="G677" s="158"/>
      <c r="H677" s="465">
        <v>71.95</v>
      </c>
      <c r="I677" s="465">
        <f t="shared" si="205"/>
        <v>71.95</v>
      </c>
      <c r="J677" s="407">
        <f t="shared" si="198"/>
        <v>91.23</v>
      </c>
      <c r="K677" s="408" t="s">
        <v>23</v>
      </c>
      <c r="L677" s="152">
        <v>0</v>
      </c>
      <c r="M677" s="152"/>
      <c r="N677" s="402">
        <f t="shared" si="199"/>
        <v>0</v>
      </c>
      <c r="O677" s="402">
        <f t="shared" si="200"/>
        <v>0</v>
      </c>
      <c r="P677" s="403"/>
      <c r="Q677" s="152">
        <f t="shared" si="206"/>
        <v>0</v>
      </c>
      <c r="R677" s="152">
        <f t="shared" si="206"/>
        <v>0</v>
      </c>
      <c r="S677" s="402">
        <f t="shared" si="202"/>
        <v>0</v>
      </c>
      <c r="T677" s="404">
        <f t="shared" si="203"/>
        <v>0</v>
      </c>
      <c r="U677" s="403"/>
      <c r="W677" s="43" t="str">
        <f t="shared" si="194"/>
        <v/>
      </c>
      <c r="X677" s="43" t="str">
        <f t="shared" si="146"/>
        <v/>
      </c>
      <c r="Y677" s="43" t="str">
        <f t="shared" si="195"/>
        <v/>
      </c>
    </row>
    <row r="678" spans="1:25" hidden="1">
      <c r="A678" s="155">
        <v>755</v>
      </c>
      <c r="B678" s="156" t="s">
        <v>591</v>
      </c>
      <c r="C678" s="411" t="s">
        <v>816</v>
      </c>
      <c r="D678" s="351"/>
      <c r="E678" s="405"/>
      <c r="F678" s="406"/>
      <c r="G678" s="158"/>
      <c r="H678" s="465">
        <v>15.08</v>
      </c>
      <c r="I678" s="465">
        <f t="shared" si="205"/>
        <v>15.08</v>
      </c>
      <c r="J678" s="407">
        <f t="shared" si="198"/>
        <v>19.12</v>
      </c>
      <c r="K678" s="408" t="s">
        <v>23</v>
      </c>
      <c r="L678" s="152">
        <v>0</v>
      </c>
      <c r="M678" s="152"/>
      <c r="N678" s="402">
        <f t="shared" si="199"/>
        <v>0</v>
      </c>
      <c r="O678" s="402">
        <f t="shared" si="200"/>
        <v>0</v>
      </c>
      <c r="P678" s="403"/>
      <c r="Q678" s="152">
        <f t="shared" si="206"/>
        <v>0</v>
      </c>
      <c r="R678" s="152">
        <f t="shared" si="206"/>
        <v>0</v>
      </c>
      <c r="S678" s="402">
        <f t="shared" si="202"/>
        <v>0</v>
      </c>
      <c r="T678" s="404">
        <f t="shared" si="203"/>
        <v>0</v>
      </c>
      <c r="U678" s="403"/>
      <c r="W678" s="43" t="str">
        <f t="shared" si="194"/>
        <v/>
      </c>
      <c r="X678" s="43" t="str">
        <f t="shared" si="146"/>
        <v/>
      </c>
      <c r="Y678" s="43" t="str">
        <f t="shared" si="195"/>
        <v/>
      </c>
    </row>
    <row r="679" spans="1:25" hidden="1">
      <c r="A679" s="155" t="s">
        <v>684</v>
      </c>
      <c r="B679" s="156" t="s">
        <v>591</v>
      </c>
      <c r="C679" s="411" t="s">
        <v>690</v>
      </c>
      <c r="D679" s="351"/>
      <c r="E679" s="405"/>
      <c r="F679" s="406"/>
      <c r="G679" s="158"/>
      <c r="H679" s="465">
        <v>6.17</v>
      </c>
      <c r="I679" s="465">
        <f t="shared" si="205"/>
        <v>6.17</v>
      </c>
      <c r="J679" s="407">
        <f t="shared" si="198"/>
        <v>7.82</v>
      </c>
      <c r="K679" s="408" t="s">
        <v>23</v>
      </c>
      <c r="L679" s="152">
        <v>0</v>
      </c>
      <c r="M679" s="152"/>
      <c r="N679" s="402">
        <f t="shared" si="199"/>
        <v>0</v>
      </c>
      <c r="O679" s="402">
        <f t="shared" si="200"/>
        <v>0</v>
      </c>
      <c r="P679" s="403"/>
      <c r="Q679" s="152">
        <f t="shared" si="206"/>
        <v>0</v>
      </c>
      <c r="R679" s="152">
        <f t="shared" si="206"/>
        <v>0</v>
      </c>
      <c r="S679" s="402">
        <f t="shared" si="202"/>
        <v>0</v>
      </c>
      <c r="T679" s="404">
        <f t="shared" si="203"/>
        <v>0</v>
      </c>
      <c r="U679" s="403"/>
      <c r="W679" s="43" t="str">
        <f t="shared" si="194"/>
        <v/>
      </c>
      <c r="X679" s="43" t="str">
        <f t="shared" si="146"/>
        <v/>
      </c>
      <c r="Y679" s="43" t="str">
        <f t="shared" si="195"/>
        <v/>
      </c>
    </row>
    <row r="680" spans="1:25" hidden="1">
      <c r="A680" s="155">
        <v>756</v>
      </c>
      <c r="B680" s="156" t="s">
        <v>591</v>
      </c>
      <c r="C680" s="411" t="s">
        <v>817</v>
      </c>
      <c r="D680" s="351"/>
      <c r="E680" s="405"/>
      <c r="F680" s="406"/>
      <c r="G680" s="158"/>
      <c r="H680" s="465">
        <v>24.67</v>
      </c>
      <c r="I680" s="465">
        <f t="shared" si="205"/>
        <v>24.67</v>
      </c>
      <c r="J680" s="407">
        <f t="shared" si="198"/>
        <v>31.28</v>
      </c>
      <c r="K680" s="408" t="s">
        <v>23</v>
      </c>
      <c r="L680" s="152">
        <v>0</v>
      </c>
      <c r="M680" s="152"/>
      <c r="N680" s="402">
        <f t="shared" si="199"/>
        <v>0</v>
      </c>
      <c r="O680" s="402">
        <f t="shared" si="200"/>
        <v>0</v>
      </c>
      <c r="P680" s="403"/>
      <c r="Q680" s="152">
        <f t="shared" si="206"/>
        <v>0</v>
      </c>
      <c r="R680" s="152">
        <f t="shared" si="206"/>
        <v>0</v>
      </c>
      <c r="S680" s="402">
        <f t="shared" si="202"/>
        <v>0</v>
      </c>
      <c r="T680" s="404">
        <f t="shared" si="203"/>
        <v>0</v>
      </c>
      <c r="U680" s="403"/>
      <c r="W680" s="43" t="str">
        <f t="shared" si="194"/>
        <v/>
      </c>
      <c r="X680" s="43" t="str">
        <f t="shared" si="146"/>
        <v/>
      </c>
      <c r="Y680" s="43" t="str">
        <f t="shared" si="195"/>
        <v/>
      </c>
    </row>
    <row r="681" spans="1:25" hidden="1">
      <c r="A681" s="155" t="s">
        <v>685</v>
      </c>
      <c r="B681" s="156" t="s">
        <v>591</v>
      </c>
      <c r="C681" s="411" t="s">
        <v>691</v>
      </c>
      <c r="D681" s="351"/>
      <c r="E681" s="405"/>
      <c r="F681" s="406"/>
      <c r="G681" s="158"/>
      <c r="H681" s="465">
        <v>9.94</v>
      </c>
      <c r="I681" s="465">
        <f t="shared" si="205"/>
        <v>9.94</v>
      </c>
      <c r="J681" s="407">
        <f t="shared" si="198"/>
        <v>12.6</v>
      </c>
      <c r="K681" s="408" t="s">
        <v>23</v>
      </c>
      <c r="L681" s="152">
        <v>0</v>
      </c>
      <c r="M681" s="152"/>
      <c r="N681" s="402">
        <f t="shared" si="199"/>
        <v>0</v>
      </c>
      <c r="O681" s="402">
        <f t="shared" si="200"/>
        <v>0</v>
      </c>
      <c r="P681" s="403"/>
      <c r="Q681" s="152">
        <f t="shared" si="206"/>
        <v>0</v>
      </c>
      <c r="R681" s="152">
        <f t="shared" si="206"/>
        <v>0</v>
      </c>
      <c r="S681" s="402">
        <f t="shared" si="202"/>
        <v>0</v>
      </c>
      <c r="T681" s="404">
        <f t="shared" si="203"/>
        <v>0</v>
      </c>
      <c r="U681" s="403"/>
      <c r="W681" s="43" t="str">
        <f t="shared" si="194"/>
        <v/>
      </c>
      <c r="X681" s="43" t="str">
        <f t="shared" si="146"/>
        <v/>
      </c>
      <c r="Y681" s="43" t="str">
        <f t="shared" si="195"/>
        <v/>
      </c>
    </row>
    <row r="682" spans="1:25" hidden="1">
      <c r="A682" s="155">
        <v>757</v>
      </c>
      <c r="B682" s="156" t="s">
        <v>591</v>
      </c>
      <c r="C682" s="411" t="s">
        <v>818</v>
      </c>
      <c r="D682" s="351"/>
      <c r="E682" s="405"/>
      <c r="F682" s="406"/>
      <c r="G682" s="158"/>
      <c r="H682" s="465">
        <v>15.42</v>
      </c>
      <c r="I682" s="465">
        <f t="shared" si="205"/>
        <v>15.42</v>
      </c>
      <c r="J682" s="407">
        <f t="shared" si="198"/>
        <v>19.55</v>
      </c>
      <c r="K682" s="408" t="s">
        <v>23</v>
      </c>
      <c r="L682" s="152">
        <v>0</v>
      </c>
      <c r="M682" s="152"/>
      <c r="N682" s="402">
        <f t="shared" si="199"/>
        <v>0</v>
      </c>
      <c r="O682" s="402">
        <f t="shared" si="200"/>
        <v>0</v>
      </c>
      <c r="P682" s="403"/>
      <c r="Q682" s="152">
        <f t="shared" ref="Q682:R708" si="207">L682</f>
        <v>0</v>
      </c>
      <c r="R682" s="152">
        <f t="shared" si="207"/>
        <v>0</v>
      </c>
      <c r="S682" s="402">
        <f t="shared" si="202"/>
        <v>0</v>
      </c>
      <c r="T682" s="404">
        <f t="shared" si="203"/>
        <v>0</v>
      </c>
      <c r="U682" s="403"/>
      <c r="W682" s="43" t="str">
        <f t="shared" si="194"/>
        <v/>
      </c>
      <c r="X682" s="43" t="str">
        <f t="shared" si="146"/>
        <v/>
      </c>
      <c r="Y682" s="43" t="str">
        <f t="shared" si="195"/>
        <v/>
      </c>
    </row>
    <row r="683" spans="1:25" hidden="1">
      <c r="A683" s="155" t="s">
        <v>686</v>
      </c>
      <c r="B683" s="156" t="s">
        <v>591</v>
      </c>
      <c r="C683" s="411" t="s">
        <v>692</v>
      </c>
      <c r="D683" s="351"/>
      <c r="E683" s="405"/>
      <c r="F683" s="406"/>
      <c r="G683" s="158"/>
      <c r="H683" s="465">
        <v>6.17</v>
      </c>
      <c r="I683" s="465">
        <f t="shared" si="205"/>
        <v>6.17</v>
      </c>
      <c r="J683" s="407">
        <f t="shared" si="198"/>
        <v>7.82</v>
      </c>
      <c r="K683" s="408" t="s">
        <v>23</v>
      </c>
      <c r="L683" s="152">
        <v>0</v>
      </c>
      <c r="M683" s="152"/>
      <c r="N683" s="402">
        <f t="shared" si="199"/>
        <v>0</v>
      </c>
      <c r="O683" s="402">
        <f t="shared" si="200"/>
        <v>0</v>
      </c>
      <c r="P683" s="403"/>
      <c r="Q683" s="152">
        <f t="shared" si="207"/>
        <v>0</v>
      </c>
      <c r="R683" s="152">
        <f t="shared" si="207"/>
        <v>0</v>
      </c>
      <c r="S683" s="402">
        <f t="shared" si="202"/>
        <v>0</v>
      </c>
      <c r="T683" s="404">
        <f t="shared" si="203"/>
        <v>0</v>
      </c>
      <c r="U683" s="403"/>
      <c r="W683" s="43" t="str">
        <f t="shared" si="194"/>
        <v/>
      </c>
      <c r="X683" s="43" t="str">
        <f t="shared" si="146"/>
        <v/>
      </c>
      <c r="Y683" s="43" t="str">
        <f t="shared" si="195"/>
        <v/>
      </c>
    </row>
    <row r="684" spans="1:25" hidden="1">
      <c r="A684" s="155">
        <v>947</v>
      </c>
      <c r="B684" s="156" t="s">
        <v>591</v>
      </c>
      <c r="C684" s="411" t="s">
        <v>819</v>
      </c>
      <c r="D684" s="351"/>
      <c r="E684" s="405"/>
      <c r="F684" s="406"/>
      <c r="G684" s="158"/>
      <c r="H684" s="465">
        <v>34.26</v>
      </c>
      <c r="I684" s="465">
        <f t="shared" si="205"/>
        <v>34.26</v>
      </c>
      <c r="J684" s="407">
        <f t="shared" si="198"/>
        <v>43.44</v>
      </c>
      <c r="K684" s="408" t="s">
        <v>23</v>
      </c>
      <c r="L684" s="152">
        <v>0</v>
      </c>
      <c r="M684" s="152"/>
      <c r="N684" s="402">
        <f t="shared" si="199"/>
        <v>0</v>
      </c>
      <c r="O684" s="402">
        <f t="shared" si="200"/>
        <v>0</v>
      </c>
      <c r="P684" s="403"/>
      <c r="Q684" s="152">
        <f t="shared" si="207"/>
        <v>0</v>
      </c>
      <c r="R684" s="152">
        <f t="shared" si="207"/>
        <v>0</v>
      </c>
      <c r="S684" s="402">
        <f t="shared" si="202"/>
        <v>0</v>
      </c>
      <c r="T684" s="404">
        <f t="shared" si="203"/>
        <v>0</v>
      </c>
      <c r="U684" s="403"/>
      <c r="W684" s="43" t="str">
        <f t="shared" si="194"/>
        <v/>
      </c>
      <c r="X684" s="43" t="str">
        <f t="shared" si="146"/>
        <v/>
      </c>
      <c r="Y684" s="43" t="str">
        <f t="shared" si="195"/>
        <v/>
      </c>
    </row>
    <row r="685" spans="1:25" hidden="1">
      <c r="A685" s="155" t="s">
        <v>717</v>
      </c>
      <c r="B685" s="156" t="s">
        <v>591</v>
      </c>
      <c r="C685" s="411" t="s">
        <v>718</v>
      </c>
      <c r="D685" s="351"/>
      <c r="E685" s="405"/>
      <c r="F685" s="406"/>
      <c r="G685" s="158"/>
      <c r="H685" s="465">
        <v>34.26</v>
      </c>
      <c r="I685" s="465">
        <f t="shared" si="205"/>
        <v>34.26</v>
      </c>
      <c r="J685" s="407">
        <f t="shared" si="198"/>
        <v>43.44</v>
      </c>
      <c r="K685" s="408" t="s">
        <v>23</v>
      </c>
      <c r="L685" s="152">
        <v>0</v>
      </c>
      <c r="M685" s="152"/>
      <c r="N685" s="402">
        <f t="shared" si="199"/>
        <v>0</v>
      </c>
      <c r="O685" s="402">
        <f t="shared" si="200"/>
        <v>0</v>
      </c>
      <c r="P685" s="403"/>
      <c r="Q685" s="152">
        <f t="shared" si="207"/>
        <v>0</v>
      </c>
      <c r="R685" s="152">
        <f t="shared" si="207"/>
        <v>0</v>
      </c>
      <c r="S685" s="402">
        <f t="shared" si="202"/>
        <v>0</v>
      </c>
      <c r="T685" s="404">
        <f t="shared" si="203"/>
        <v>0</v>
      </c>
      <c r="U685" s="403"/>
      <c r="W685" s="43" t="str">
        <f t="shared" si="194"/>
        <v/>
      </c>
      <c r="X685" s="43" t="str">
        <f t="shared" si="146"/>
        <v/>
      </c>
      <c r="Y685" s="43" t="str">
        <f t="shared" si="195"/>
        <v/>
      </c>
    </row>
    <row r="686" spans="1:25" hidden="1">
      <c r="A686" s="155">
        <v>760</v>
      </c>
      <c r="B686" s="156" t="s">
        <v>591</v>
      </c>
      <c r="C686" s="411" t="s">
        <v>720</v>
      </c>
      <c r="D686" s="351"/>
      <c r="E686" s="405"/>
      <c r="F686" s="406"/>
      <c r="G686" s="158"/>
      <c r="H686" s="465">
        <v>17.47</v>
      </c>
      <c r="I686" s="465">
        <f t="shared" si="205"/>
        <v>17.47</v>
      </c>
      <c r="J686" s="407">
        <f t="shared" si="198"/>
        <v>22.15</v>
      </c>
      <c r="K686" s="408" t="s">
        <v>23</v>
      </c>
      <c r="L686" s="152">
        <v>0</v>
      </c>
      <c r="M686" s="152"/>
      <c r="N686" s="402">
        <f t="shared" si="199"/>
        <v>0</v>
      </c>
      <c r="O686" s="402">
        <f t="shared" si="200"/>
        <v>0</v>
      </c>
      <c r="P686" s="403"/>
      <c r="Q686" s="152">
        <f t="shared" si="207"/>
        <v>0</v>
      </c>
      <c r="R686" s="152">
        <f t="shared" si="207"/>
        <v>0</v>
      </c>
      <c r="S686" s="402">
        <f t="shared" si="202"/>
        <v>0</v>
      </c>
      <c r="T686" s="404">
        <f t="shared" si="203"/>
        <v>0</v>
      </c>
      <c r="U686" s="403"/>
      <c r="W686" s="43" t="str">
        <f t="shared" si="194"/>
        <v/>
      </c>
      <c r="X686" s="43" t="str">
        <f t="shared" si="146"/>
        <v/>
      </c>
      <c r="Y686" s="43" t="str">
        <f t="shared" si="195"/>
        <v/>
      </c>
    </row>
    <row r="687" spans="1:25" hidden="1">
      <c r="A687" s="155" t="s">
        <v>719</v>
      </c>
      <c r="B687" s="156" t="s">
        <v>591</v>
      </c>
      <c r="C687" s="411" t="s">
        <v>721</v>
      </c>
      <c r="D687" s="351"/>
      <c r="E687" s="405"/>
      <c r="F687" s="406"/>
      <c r="G687" s="158"/>
      <c r="H687" s="465">
        <v>6.85</v>
      </c>
      <c r="I687" s="465">
        <f t="shared" si="205"/>
        <v>6.85</v>
      </c>
      <c r="J687" s="407">
        <f t="shared" si="198"/>
        <v>8.69</v>
      </c>
      <c r="K687" s="408" t="s">
        <v>23</v>
      </c>
      <c r="L687" s="152">
        <v>0</v>
      </c>
      <c r="M687" s="152"/>
      <c r="N687" s="402">
        <f t="shared" si="199"/>
        <v>0</v>
      </c>
      <c r="O687" s="402">
        <f t="shared" si="200"/>
        <v>0</v>
      </c>
      <c r="P687" s="403"/>
      <c r="Q687" s="152">
        <f t="shared" si="207"/>
        <v>0</v>
      </c>
      <c r="R687" s="152">
        <f t="shared" si="207"/>
        <v>0</v>
      </c>
      <c r="S687" s="402">
        <f t="shared" si="202"/>
        <v>0</v>
      </c>
      <c r="T687" s="404">
        <f t="shared" si="203"/>
        <v>0</v>
      </c>
      <c r="U687" s="403"/>
      <c r="W687" s="43" t="str">
        <f t="shared" ref="W687:W750" si="208">IF(V687="X","x",IF(V687="xx","x",IF(V687="xy","x",IF(V687="y","x",IF(OR(O687&gt;0,T687&gt;0),"x","")))))</f>
        <v/>
      </c>
      <c r="X687" s="43" t="str">
        <f t="shared" si="146"/>
        <v/>
      </c>
      <c r="Y687" s="43" t="str">
        <f t="shared" si="195"/>
        <v/>
      </c>
    </row>
    <row r="688" spans="1:25" hidden="1">
      <c r="A688" s="155">
        <v>761</v>
      </c>
      <c r="B688" s="156" t="s">
        <v>591</v>
      </c>
      <c r="C688" s="411" t="s">
        <v>723</v>
      </c>
      <c r="D688" s="351"/>
      <c r="E688" s="405"/>
      <c r="F688" s="406"/>
      <c r="G688" s="158"/>
      <c r="H688" s="465">
        <v>13.36</v>
      </c>
      <c r="I688" s="465">
        <f t="shared" si="205"/>
        <v>13.36</v>
      </c>
      <c r="J688" s="407">
        <f t="shared" si="198"/>
        <v>16.940000000000001</v>
      </c>
      <c r="K688" s="408" t="s">
        <v>23</v>
      </c>
      <c r="L688" s="152">
        <v>0</v>
      </c>
      <c r="M688" s="152"/>
      <c r="N688" s="402">
        <f t="shared" si="199"/>
        <v>0</v>
      </c>
      <c r="O688" s="402">
        <f t="shared" si="200"/>
        <v>0</v>
      </c>
      <c r="P688" s="403"/>
      <c r="Q688" s="152">
        <f t="shared" si="207"/>
        <v>0</v>
      </c>
      <c r="R688" s="152">
        <f t="shared" si="207"/>
        <v>0</v>
      </c>
      <c r="S688" s="402">
        <f t="shared" si="202"/>
        <v>0</v>
      </c>
      <c r="T688" s="404">
        <f t="shared" si="203"/>
        <v>0</v>
      </c>
      <c r="U688" s="403"/>
      <c r="W688" s="43" t="str">
        <f t="shared" si="208"/>
        <v/>
      </c>
      <c r="X688" s="43" t="str">
        <f t="shared" si="146"/>
        <v/>
      </c>
      <c r="Y688" s="43" t="str">
        <f t="shared" si="195"/>
        <v/>
      </c>
    </row>
    <row r="689" spans="1:25" hidden="1">
      <c r="A689" s="155" t="s">
        <v>722</v>
      </c>
      <c r="B689" s="156" t="s">
        <v>591</v>
      </c>
      <c r="C689" s="411" t="s">
        <v>779</v>
      </c>
      <c r="D689" s="351"/>
      <c r="E689" s="405"/>
      <c r="F689" s="406"/>
      <c r="G689" s="158"/>
      <c r="H689" s="465">
        <v>5.48</v>
      </c>
      <c r="I689" s="465">
        <f t="shared" si="205"/>
        <v>5.48</v>
      </c>
      <c r="J689" s="407">
        <f t="shared" si="198"/>
        <v>6.95</v>
      </c>
      <c r="K689" s="408" t="s">
        <v>23</v>
      </c>
      <c r="L689" s="152">
        <v>0</v>
      </c>
      <c r="M689" s="152"/>
      <c r="N689" s="402">
        <f t="shared" si="199"/>
        <v>0</v>
      </c>
      <c r="O689" s="402">
        <f t="shared" si="200"/>
        <v>0</v>
      </c>
      <c r="P689" s="403"/>
      <c r="Q689" s="152">
        <f t="shared" si="207"/>
        <v>0</v>
      </c>
      <c r="R689" s="152">
        <f t="shared" si="207"/>
        <v>0</v>
      </c>
      <c r="S689" s="402">
        <f t="shared" si="202"/>
        <v>0</v>
      </c>
      <c r="T689" s="404">
        <f t="shared" si="203"/>
        <v>0</v>
      </c>
      <c r="U689" s="403"/>
      <c r="W689" s="43" t="str">
        <f t="shared" si="208"/>
        <v/>
      </c>
      <c r="X689" s="43" t="str">
        <f t="shared" si="146"/>
        <v/>
      </c>
      <c r="Y689" s="43" t="str">
        <f t="shared" si="195"/>
        <v/>
      </c>
    </row>
    <row r="690" spans="1:25" hidden="1">
      <c r="A690" s="155">
        <v>762</v>
      </c>
      <c r="B690" s="156" t="s">
        <v>591</v>
      </c>
      <c r="C690" s="411" t="s">
        <v>725</v>
      </c>
      <c r="D690" s="351"/>
      <c r="E690" s="405"/>
      <c r="F690" s="406"/>
      <c r="G690" s="158"/>
      <c r="H690" s="465">
        <v>21.58</v>
      </c>
      <c r="I690" s="465">
        <f t="shared" si="205"/>
        <v>21.58</v>
      </c>
      <c r="J690" s="407">
        <f t="shared" si="198"/>
        <v>27.36</v>
      </c>
      <c r="K690" s="408" t="s">
        <v>23</v>
      </c>
      <c r="L690" s="152">
        <v>0</v>
      </c>
      <c r="M690" s="152"/>
      <c r="N690" s="402">
        <f t="shared" si="199"/>
        <v>0</v>
      </c>
      <c r="O690" s="402">
        <f t="shared" si="200"/>
        <v>0</v>
      </c>
      <c r="P690" s="403"/>
      <c r="Q690" s="152">
        <f t="shared" si="207"/>
        <v>0</v>
      </c>
      <c r="R690" s="152">
        <f t="shared" si="207"/>
        <v>0</v>
      </c>
      <c r="S690" s="402">
        <f t="shared" si="202"/>
        <v>0</v>
      </c>
      <c r="T690" s="404">
        <f t="shared" si="203"/>
        <v>0</v>
      </c>
      <c r="U690" s="403"/>
      <c r="W690" s="43" t="str">
        <f t="shared" si="208"/>
        <v/>
      </c>
      <c r="X690" s="43" t="str">
        <f t="shared" si="146"/>
        <v/>
      </c>
      <c r="Y690" s="43" t="str">
        <f t="shared" si="195"/>
        <v/>
      </c>
    </row>
    <row r="691" spans="1:25" hidden="1">
      <c r="A691" s="155" t="s">
        <v>724</v>
      </c>
      <c r="B691" s="156" t="s">
        <v>591</v>
      </c>
      <c r="C691" s="411" t="s">
        <v>726</v>
      </c>
      <c r="D691" s="351"/>
      <c r="E691" s="405"/>
      <c r="F691" s="406"/>
      <c r="G691" s="158"/>
      <c r="H691" s="465">
        <v>8.57</v>
      </c>
      <c r="I691" s="465">
        <f t="shared" si="205"/>
        <v>8.57</v>
      </c>
      <c r="J691" s="407">
        <f t="shared" si="198"/>
        <v>10.87</v>
      </c>
      <c r="K691" s="408" t="s">
        <v>23</v>
      </c>
      <c r="L691" s="152">
        <v>0</v>
      </c>
      <c r="M691" s="152"/>
      <c r="N691" s="402">
        <f t="shared" si="199"/>
        <v>0</v>
      </c>
      <c r="O691" s="402">
        <f t="shared" si="200"/>
        <v>0</v>
      </c>
      <c r="P691" s="403"/>
      <c r="Q691" s="152">
        <f t="shared" si="207"/>
        <v>0</v>
      </c>
      <c r="R691" s="152">
        <f t="shared" si="207"/>
        <v>0</v>
      </c>
      <c r="S691" s="402">
        <f t="shared" si="202"/>
        <v>0</v>
      </c>
      <c r="T691" s="404">
        <f t="shared" si="203"/>
        <v>0</v>
      </c>
      <c r="U691" s="403"/>
      <c r="W691" s="43" t="str">
        <f t="shared" si="208"/>
        <v/>
      </c>
      <c r="X691" s="43" t="str">
        <f t="shared" si="146"/>
        <v/>
      </c>
      <c r="Y691" s="43" t="str">
        <f t="shared" si="195"/>
        <v/>
      </c>
    </row>
    <row r="692" spans="1:25" ht="25.5" hidden="1">
      <c r="A692" s="155">
        <v>763</v>
      </c>
      <c r="B692" s="156" t="s">
        <v>591</v>
      </c>
      <c r="C692" s="411" t="s">
        <v>727</v>
      </c>
      <c r="D692" s="351"/>
      <c r="E692" s="405"/>
      <c r="F692" s="406"/>
      <c r="G692" s="158"/>
      <c r="H692" s="465">
        <v>23.3</v>
      </c>
      <c r="I692" s="465">
        <f t="shared" si="205"/>
        <v>23.3</v>
      </c>
      <c r="J692" s="407">
        <f t="shared" si="198"/>
        <v>29.54</v>
      </c>
      <c r="K692" s="408" t="s">
        <v>23</v>
      </c>
      <c r="L692" s="152">
        <v>0</v>
      </c>
      <c r="M692" s="152"/>
      <c r="N692" s="402">
        <f t="shared" si="199"/>
        <v>0</v>
      </c>
      <c r="O692" s="402">
        <f t="shared" si="200"/>
        <v>0</v>
      </c>
      <c r="P692" s="403"/>
      <c r="Q692" s="152">
        <f t="shared" si="207"/>
        <v>0</v>
      </c>
      <c r="R692" s="152">
        <f t="shared" si="207"/>
        <v>0</v>
      </c>
      <c r="S692" s="402">
        <f t="shared" si="202"/>
        <v>0</v>
      </c>
      <c r="T692" s="404">
        <f t="shared" si="203"/>
        <v>0</v>
      </c>
      <c r="U692" s="403"/>
      <c r="W692" s="43" t="str">
        <f t="shared" si="208"/>
        <v/>
      </c>
      <c r="X692" s="43" t="str">
        <f t="shared" si="146"/>
        <v/>
      </c>
      <c r="Y692" s="43" t="str">
        <f t="shared" si="195"/>
        <v/>
      </c>
    </row>
    <row r="693" spans="1:25" hidden="1">
      <c r="A693" s="155">
        <v>767</v>
      </c>
      <c r="B693" s="156" t="s">
        <v>591</v>
      </c>
      <c r="C693" s="411" t="s">
        <v>820</v>
      </c>
      <c r="D693" s="351"/>
      <c r="E693" s="405">
        <v>0</v>
      </c>
      <c r="F693" s="406"/>
      <c r="G693" s="158">
        <v>0</v>
      </c>
      <c r="H693" s="465">
        <v>19.53</v>
      </c>
      <c r="I693" s="465">
        <f t="shared" si="205"/>
        <v>19.53</v>
      </c>
      <c r="J693" s="407">
        <f t="shared" si="198"/>
        <v>24.76</v>
      </c>
      <c r="K693" s="408" t="s">
        <v>23</v>
      </c>
      <c r="L693" s="152">
        <v>0</v>
      </c>
      <c r="M693" s="152"/>
      <c r="N693" s="402">
        <f t="shared" si="199"/>
        <v>0</v>
      </c>
      <c r="O693" s="402">
        <f t="shared" si="200"/>
        <v>0</v>
      </c>
      <c r="P693" s="403"/>
      <c r="Q693" s="152">
        <f t="shared" si="207"/>
        <v>0</v>
      </c>
      <c r="R693" s="152">
        <f t="shared" si="207"/>
        <v>0</v>
      </c>
      <c r="S693" s="402">
        <f t="shared" si="202"/>
        <v>0</v>
      </c>
      <c r="T693" s="404">
        <f t="shared" si="203"/>
        <v>0</v>
      </c>
      <c r="U693" s="403"/>
      <c r="W693" s="43" t="str">
        <f t="shared" si="208"/>
        <v/>
      </c>
      <c r="X693" s="43" t="str">
        <f t="shared" si="146"/>
        <v/>
      </c>
      <c r="Y693" s="43" t="str">
        <f t="shared" si="195"/>
        <v/>
      </c>
    </row>
    <row r="694" spans="1:25" hidden="1">
      <c r="A694" s="155">
        <v>768</v>
      </c>
      <c r="B694" s="156" t="s">
        <v>591</v>
      </c>
      <c r="C694" s="411" t="s">
        <v>821</v>
      </c>
      <c r="D694" s="351"/>
      <c r="E694" s="405">
        <v>0</v>
      </c>
      <c r="F694" s="406"/>
      <c r="G694" s="158">
        <v>0</v>
      </c>
      <c r="H694" s="465">
        <v>44.54</v>
      </c>
      <c r="I694" s="465">
        <f t="shared" si="205"/>
        <v>44.54</v>
      </c>
      <c r="J694" s="407">
        <f t="shared" si="198"/>
        <v>56.48</v>
      </c>
      <c r="K694" s="408" t="s">
        <v>23</v>
      </c>
      <c r="L694" s="152">
        <v>0</v>
      </c>
      <c r="M694" s="152"/>
      <c r="N694" s="402">
        <f t="shared" si="199"/>
        <v>0</v>
      </c>
      <c r="O694" s="402">
        <f t="shared" si="200"/>
        <v>0</v>
      </c>
      <c r="P694" s="403"/>
      <c r="Q694" s="152">
        <f t="shared" si="207"/>
        <v>0</v>
      </c>
      <c r="R694" s="152">
        <f t="shared" si="207"/>
        <v>0</v>
      </c>
      <c r="S694" s="402">
        <f t="shared" si="202"/>
        <v>0</v>
      </c>
      <c r="T694" s="404">
        <f t="shared" si="203"/>
        <v>0</v>
      </c>
      <c r="U694" s="403"/>
      <c r="W694" s="43" t="str">
        <f t="shared" si="208"/>
        <v/>
      </c>
      <c r="X694" s="43" t="str">
        <f t="shared" si="146"/>
        <v/>
      </c>
      <c r="Y694" s="43" t="str">
        <f t="shared" si="195"/>
        <v/>
      </c>
    </row>
    <row r="695" spans="1:25" hidden="1">
      <c r="A695" s="155">
        <v>769</v>
      </c>
      <c r="B695" s="156" t="s">
        <v>591</v>
      </c>
      <c r="C695" s="411" t="s">
        <v>822</v>
      </c>
      <c r="D695" s="351"/>
      <c r="E695" s="405">
        <v>0</v>
      </c>
      <c r="F695" s="406"/>
      <c r="G695" s="158">
        <v>0</v>
      </c>
      <c r="H695" s="465">
        <v>163.77000000000001</v>
      </c>
      <c r="I695" s="465">
        <f t="shared" si="205"/>
        <v>163.77000000000001</v>
      </c>
      <c r="J695" s="407">
        <f t="shared" si="198"/>
        <v>207.66</v>
      </c>
      <c r="K695" s="408" t="s">
        <v>23</v>
      </c>
      <c r="L695" s="152">
        <v>0</v>
      </c>
      <c r="M695" s="152"/>
      <c r="N695" s="402">
        <f t="shared" si="199"/>
        <v>0</v>
      </c>
      <c r="O695" s="402">
        <f t="shared" si="200"/>
        <v>0</v>
      </c>
      <c r="P695" s="403"/>
      <c r="Q695" s="152">
        <f t="shared" si="207"/>
        <v>0</v>
      </c>
      <c r="R695" s="152">
        <f t="shared" si="207"/>
        <v>0</v>
      </c>
      <c r="S695" s="402">
        <f t="shared" si="202"/>
        <v>0</v>
      </c>
      <c r="T695" s="404">
        <f t="shared" si="203"/>
        <v>0</v>
      </c>
      <c r="U695" s="403"/>
      <c r="W695" s="43" t="str">
        <f t="shared" si="208"/>
        <v/>
      </c>
      <c r="X695" s="43" t="str">
        <f t="shared" si="146"/>
        <v/>
      </c>
      <c r="Y695" s="43" t="str">
        <f t="shared" si="195"/>
        <v/>
      </c>
    </row>
    <row r="696" spans="1:25" hidden="1">
      <c r="A696" s="155">
        <v>770</v>
      </c>
      <c r="B696" s="156" t="s">
        <v>591</v>
      </c>
      <c r="C696" s="411" t="s">
        <v>696</v>
      </c>
      <c r="D696" s="351"/>
      <c r="E696" s="405"/>
      <c r="F696" s="406"/>
      <c r="G696" s="158"/>
      <c r="H696" s="465">
        <v>56.53</v>
      </c>
      <c r="I696" s="465">
        <f t="shared" si="205"/>
        <v>56.53</v>
      </c>
      <c r="J696" s="407">
        <f t="shared" si="198"/>
        <v>71.680000000000007</v>
      </c>
      <c r="K696" s="408" t="s">
        <v>23</v>
      </c>
      <c r="L696" s="152">
        <v>0</v>
      </c>
      <c r="M696" s="152"/>
      <c r="N696" s="402">
        <f t="shared" si="199"/>
        <v>0</v>
      </c>
      <c r="O696" s="402">
        <f t="shared" si="200"/>
        <v>0</v>
      </c>
      <c r="P696" s="403"/>
      <c r="Q696" s="152">
        <f t="shared" si="207"/>
        <v>0</v>
      </c>
      <c r="R696" s="152">
        <f t="shared" si="207"/>
        <v>0</v>
      </c>
      <c r="S696" s="402">
        <f t="shared" si="202"/>
        <v>0</v>
      </c>
      <c r="T696" s="404">
        <f t="shared" si="203"/>
        <v>0</v>
      </c>
      <c r="U696" s="403"/>
      <c r="W696" s="43" t="str">
        <f t="shared" si="208"/>
        <v/>
      </c>
      <c r="X696" s="43" t="str">
        <f t="shared" si="146"/>
        <v/>
      </c>
      <c r="Y696" s="43" t="str">
        <f t="shared" si="195"/>
        <v/>
      </c>
    </row>
    <row r="697" spans="1:25" hidden="1">
      <c r="A697" s="155" t="s">
        <v>693</v>
      </c>
      <c r="B697" s="156" t="s">
        <v>591</v>
      </c>
      <c r="C697" s="411" t="s">
        <v>697</v>
      </c>
      <c r="D697" s="351"/>
      <c r="E697" s="405"/>
      <c r="F697" s="406"/>
      <c r="G697" s="158"/>
      <c r="H697" s="465">
        <v>22.61</v>
      </c>
      <c r="I697" s="465">
        <f t="shared" si="205"/>
        <v>22.61</v>
      </c>
      <c r="J697" s="407">
        <f t="shared" si="198"/>
        <v>28.67</v>
      </c>
      <c r="K697" s="408" t="s">
        <v>23</v>
      </c>
      <c r="L697" s="152">
        <v>0</v>
      </c>
      <c r="M697" s="152"/>
      <c r="N697" s="402">
        <f t="shared" si="199"/>
        <v>0</v>
      </c>
      <c r="O697" s="402">
        <f t="shared" si="200"/>
        <v>0</v>
      </c>
      <c r="P697" s="403"/>
      <c r="Q697" s="152">
        <f t="shared" si="207"/>
        <v>0</v>
      </c>
      <c r="R697" s="152">
        <f t="shared" si="207"/>
        <v>0</v>
      </c>
      <c r="S697" s="402">
        <f t="shared" si="202"/>
        <v>0</v>
      </c>
      <c r="T697" s="404">
        <f t="shared" si="203"/>
        <v>0</v>
      </c>
      <c r="U697" s="403"/>
      <c r="W697" s="43" t="str">
        <f t="shared" si="208"/>
        <v/>
      </c>
      <c r="X697" s="43" t="str">
        <f t="shared" si="146"/>
        <v/>
      </c>
      <c r="Y697" s="43" t="str">
        <f t="shared" si="195"/>
        <v/>
      </c>
    </row>
    <row r="698" spans="1:25" hidden="1">
      <c r="A698" s="155">
        <v>771</v>
      </c>
      <c r="B698" s="156" t="s">
        <v>591</v>
      </c>
      <c r="C698" s="411" t="s">
        <v>698</v>
      </c>
      <c r="D698" s="351"/>
      <c r="E698" s="405"/>
      <c r="F698" s="406"/>
      <c r="G698" s="158"/>
      <c r="H698" s="465">
        <v>81.2</v>
      </c>
      <c r="I698" s="465">
        <f t="shared" ref="I698:I701" si="209">IF(ISBLANK(H698),"",SUM(G698:H698))</f>
        <v>81.2</v>
      </c>
      <c r="J698" s="407">
        <f t="shared" si="198"/>
        <v>102.96</v>
      </c>
      <c r="K698" s="408" t="s">
        <v>23</v>
      </c>
      <c r="L698" s="152">
        <v>0</v>
      </c>
      <c r="M698" s="152"/>
      <c r="N698" s="402">
        <f t="shared" si="199"/>
        <v>0</v>
      </c>
      <c r="O698" s="402">
        <f t="shared" si="200"/>
        <v>0</v>
      </c>
      <c r="P698" s="403"/>
      <c r="Q698" s="152">
        <f t="shared" si="207"/>
        <v>0</v>
      </c>
      <c r="R698" s="152">
        <f t="shared" si="207"/>
        <v>0</v>
      </c>
      <c r="S698" s="402">
        <f t="shared" si="202"/>
        <v>0</v>
      </c>
      <c r="T698" s="404">
        <f t="shared" si="203"/>
        <v>0</v>
      </c>
      <c r="U698" s="403"/>
      <c r="W698" s="43" t="str">
        <f t="shared" si="208"/>
        <v/>
      </c>
      <c r="X698" s="43" t="str">
        <f t="shared" si="146"/>
        <v/>
      </c>
      <c r="Y698" s="43" t="str">
        <f t="shared" si="195"/>
        <v/>
      </c>
    </row>
    <row r="699" spans="1:25" hidden="1">
      <c r="A699" s="155" t="s">
        <v>694</v>
      </c>
      <c r="B699" s="156" t="s">
        <v>591</v>
      </c>
      <c r="C699" s="411" t="s">
        <v>699</v>
      </c>
      <c r="D699" s="351"/>
      <c r="E699" s="405"/>
      <c r="F699" s="406"/>
      <c r="G699" s="158"/>
      <c r="H699" s="465">
        <v>32.549999999999997</v>
      </c>
      <c r="I699" s="465">
        <f t="shared" si="209"/>
        <v>32.549999999999997</v>
      </c>
      <c r="J699" s="407">
        <f t="shared" si="198"/>
        <v>41.27</v>
      </c>
      <c r="K699" s="408" t="s">
        <v>23</v>
      </c>
      <c r="L699" s="152">
        <v>0</v>
      </c>
      <c r="M699" s="152"/>
      <c r="N699" s="402">
        <f t="shared" si="199"/>
        <v>0</v>
      </c>
      <c r="O699" s="402">
        <f t="shared" si="200"/>
        <v>0</v>
      </c>
      <c r="P699" s="403"/>
      <c r="Q699" s="152">
        <f t="shared" si="207"/>
        <v>0</v>
      </c>
      <c r="R699" s="152">
        <f t="shared" si="207"/>
        <v>0</v>
      </c>
      <c r="S699" s="402">
        <f t="shared" si="202"/>
        <v>0</v>
      </c>
      <c r="T699" s="404">
        <f t="shared" si="203"/>
        <v>0</v>
      </c>
      <c r="U699" s="403"/>
      <c r="W699" s="43" t="str">
        <f t="shared" si="208"/>
        <v/>
      </c>
      <c r="X699" s="43" t="str">
        <f t="shared" si="146"/>
        <v/>
      </c>
      <c r="Y699" s="43" t="str">
        <f t="shared" si="195"/>
        <v/>
      </c>
    </row>
    <row r="700" spans="1:25" hidden="1">
      <c r="A700" s="155">
        <v>772</v>
      </c>
      <c r="B700" s="156" t="s">
        <v>591</v>
      </c>
      <c r="C700" s="411" t="s">
        <v>700</v>
      </c>
      <c r="D700" s="351"/>
      <c r="E700" s="405"/>
      <c r="F700" s="406"/>
      <c r="G700" s="158"/>
      <c r="H700" s="465">
        <v>26.72</v>
      </c>
      <c r="I700" s="465">
        <f t="shared" si="209"/>
        <v>26.72</v>
      </c>
      <c r="J700" s="407">
        <f t="shared" si="198"/>
        <v>33.880000000000003</v>
      </c>
      <c r="K700" s="408" t="s">
        <v>23</v>
      </c>
      <c r="L700" s="152">
        <v>0</v>
      </c>
      <c r="M700" s="152"/>
      <c r="N700" s="402">
        <f t="shared" si="199"/>
        <v>0</v>
      </c>
      <c r="O700" s="402">
        <f t="shared" si="200"/>
        <v>0</v>
      </c>
      <c r="P700" s="403"/>
      <c r="Q700" s="152">
        <f t="shared" si="207"/>
        <v>0</v>
      </c>
      <c r="R700" s="152">
        <f t="shared" si="207"/>
        <v>0</v>
      </c>
      <c r="S700" s="402">
        <f t="shared" si="202"/>
        <v>0</v>
      </c>
      <c r="T700" s="404">
        <f t="shared" si="203"/>
        <v>0</v>
      </c>
      <c r="U700" s="403"/>
      <c r="W700" s="43" t="str">
        <f t="shared" si="208"/>
        <v/>
      </c>
      <c r="X700" s="43" t="str">
        <f t="shared" si="146"/>
        <v/>
      </c>
      <c r="Y700" s="43" t="str">
        <f t="shared" si="195"/>
        <v/>
      </c>
    </row>
    <row r="701" spans="1:25" hidden="1">
      <c r="A701" s="155" t="s">
        <v>695</v>
      </c>
      <c r="B701" s="156" t="s">
        <v>591</v>
      </c>
      <c r="C701" s="411" t="s">
        <v>701</v>
      </c>
      <c r="D701" s="351"/>
      <c r="E701" s="405"/>
      <c r="F701" s="406"/>
      <c r="G701" s="158"/>
      <c r="H701" s="465">
        <v>10.62</v>
      </c>
      <c r="I701" s="465">
        <f t="shared" si="209"/>
        <v>10.62</v>
      </c>
      <c r="J701" s="407">
        <f t="shared" si="198"/>
        <v>13.47</v>
      </c>
      <c r="K701" s="408" t="s">
        <v>23</v>
      </c>
      <c r="L701" s="152">
        <v>0</v>
      </c>
      <c r="M701" s="152"/>
      <c r="N701" s="402">
        <f t="shared" si="199"/>
        <v>0</v>
      </c>
      <c r="O701" s="402">
        <f t="shared" si="200"/>
        <v>0</v>
      </c>
      <c r="P701" s="403"/>
      <c r="Q701" s="152">
        <f t="shared" si="207"/>
        <v>0</v>
      </c>
      <c r="R701" s="152">
        <f t="shared" si="207"/>
        <v>0</v>
      </c>
      <c r="S701" s="402">
        <f t="shared" si="202"/>
        <v>0</v>
      </c>
      <c r="T701" s="404">
        <f t="shared" si="203"/>
        <v>0</v>
      </c>
      <c r="U701" s="403"/>
      <c r="W701" s="43" t="str">
        <f t="shared" si="208"/>
        <v/>
      </c>
      <c r="X701" s="43" t="str">
        <f t="shared" si="146"/>
        <v/>
      </c>
      <c r="Y701" s="43" t="str">
        <f t="shared" si="195"/>
        <v/>
      </c>
    </row>
    <row r="702" spans="1:25" hidden="1">
      <c r="A702" s="155">
        <v>773</v>
      </c>
      <c r="B702" s="156" t="s">
        <v>591</v>
      </c>
      <c r="C702" s="411" t="s">
        <v>704</v>
      </c>
      <c r="D702" s="351"/>
      <c r="E702" s="405"/>
      <c r="F702" s="406"/>
      <c r="G702" s="158"/>
      <c r="H702" s="465">
        <v>88.39</v>
      </c>
      <c r="I702" s="465">
        <f t="shared" ref="I702:I751" si="210">IF(ISBLANK(H702),"",SUM(G702:H702))</f>
        <v>88.39</v>
      </c>
      <c r="J702" s="407">
        <f t="shared" si="198"/>
        <v>112.08</v>
      </c>
      <c r="K702" s="408" t="s">
        <v>23</v>
      </c>
      <c r="L702" s="152">
        <v>0</v>
      </c>
      <c r="M702" s="152"/>
      <c r="N702" s="402">
        <f t="shared" si="199"/>
        <v>0</v>
      </c>
      <c r="O702" s="402">
        <f t="shared" si="200"/>
        <v>0</v>
      </c>
      <c r="P702" s="403"/>
      <c r="Q702" s="152">
        <f t="shared" si="207"/>
        <v>0</v>
      </c>
      <c r="R702" s="152">
        <f t="shared" si="207"/>
        <v>0</v>
      </c>
      <c r="S702" s="402">
        <f t="shared" si="202"/>
        <v>0</v>
      </c>
      <c r="T702" s="404">
        <f t="shared" si="203"/>
        <v>0</v>
      </c>
      <c r="U702" s="403"/>
      <c r="W702" s="43" t="str">
        <f t="shared" si="208"/>
        <v/>
      </c>
      <c r="X702" s="43" t="str">
        <f t="shared" si="146"/>
        <v/>
      </c>
      <c r="Y702" s="43" t="str">
        <f t="shared" si="195"/>
        <v/>
      </c>
    </row>
    <row r="703" spans="1:25" hidden="1">
      <c r="A703" s="155">
        <v>774</v>
      </c>
      <c r="B703" s="156" t="s">
        <v>591</v>
      </c>
      <c r="C703" s="411" t="s">
        <v>707</v>
      </c>
      <c r="D703" s="351"/>
      <c r="E703" s="405"/>
      <c r="F703" s="406"/>
      <c r="G703" s="158"/>
      <c r="H703" s="465">
        <v>119.92</v>
      </c>
      <c r="I703" s="465">
        <f t="shared" si="210"/>
        <v>119.92</v>
      </c>
      <c r="J703" s="407">
        <f t="shared" si="198"/>
        <v>152.06</v>
      </c>
      <c r="K703" s="408" t="s">
        <v>23</v>
      </c>
      <c r="L703" s="152">
        <v>0</v>
      </c>
      <c r="M703" s="152"/>
      <c r="N703" s="402">
        <f t="shared" si="199"/>
        <v>0</v>
      </c>
      <c r="O703" s="402">
        <f t="shared" si="200"/>
        <v>0</v>
      </c>
      <c r="P703" s="403"/>
      <c r="Q703" s="152">
        <f t="shared" si="207"/>
        <v>0</v>
      </c>
      <c r="R703" s="152">
        <f t="shared" si="207"/>
        <v>0</v>
      </c>
      <c r="S703" s="402">
        <f t="shared" si="202"/>
        <v>0</v>
      </c>
      <c r="T703" s="404">
        <f t="shared" si="203"/>
        <v>0</v>
      </c>
      <c r="U703" s="403"/>
      <c r="W703" s="43" t="str">
        <f t="shared" si="208"/>
        <v/>
      </c>
      <c r="X703" s="43" t="str">
        <f t="shared" si="146"/>
        <v/>
      </c>
      <c r="Y703" s="43" t="str">
        <f t="shared" si="195"/>
        <v/>
      </c>
    </row>
    <row r="704" spans="1:25" hidden="1">
      <c r="A704" s="155" t="s">
        <v>706</v>
      </c>
      <c r="B704" s="156" t="s">
        <v>591</v>
      </c>
      <c r="C704" s="411" t="s">
        <v>708</v>
      </c>
      <c r="D704" s="351"/>
      <c r="E704" s="405"/>
      <c r="F704" s="406"/>
      <c r="G704" s="158"/>
      <c r="H704" s="465">
        <v>17.13</v>
      </c>
      <c r="I704" s="465">
        <f t="shared" si="210"/>
        <v>17.13</v>
      </c>
      <c r="J704" s="407">
        <f t="shared" si="198"/>
        <v>21.72</v>
      </c>
      <c r="K704" s="408" t="s">
        <v>23</v>
      </c>
      <c r="L704" s="152">
        <v>0</v>
      </c>
      <c r="M704" s="152"/>
      <c r="N704" s="402">
        <f t="shared" si="199"/>
        <v>0</v>
      </c>
      <c r="O704" s="402">
        <f t="shared" si="200"/>
        <v>0</v>
      </c>
      <c r="P704" s="403"/>
      <c r="Q704" s="152">
        <f t="shared" si="207"/>
        <v>0</v>
      </c>
      <c r="R704" s="152">
        <f t="shared" si="207"/>
        <v>0</v>
      </c>
      <c r="S704" s="402">
        <f t="shared" si="202"/>
        <v>0</v>
      </c>
      <c r="T704" s="404">
        <f t="shared" si="203"/>
        <v>0</v>
      </c>
      <c r="U704" s="403"/>
      <c r="W704" s="43" t="str">
        <f t="shared" si="208"/>
        <v/>
      </c>
      <c r="X704" s="43" t="str">
        <f t="shared" si="146"/>
        <v/>
      </c>
      <c r="Y704" s="43" t="str">
        <f t="shared" si="195"/>
        <v/>
      </c>
    </row>
    <row r="705" spans="1:25" ht="25.5" hidden="1">
      <c r="A705" s="155">
        <v>775</v>
      </c>
      <c r="B705" s="156" t="s">
        <v>591</v>
      </c>
      <c r="C705" s="411" t="s">
        <v>823</v>
      </c>
      <c r="D705" s="351"/>
      <c r="E705" s="405"/>
      <c r="F705" s="406"/>
      <c r="G705" s="158"/>
      <c r="H705" s="465">
        <v>14.05</v>
      </c>
      <c r="I705" s="465">
        <f t="shared" si="210"/>
        <v>14.05</v>
      </c>
      <c r="J705" s="407">
        <f t="shared" si="198"/>
        <v>17.82</v>
      </c>
      <c r="K705" s="408" t="s">
        <v>23</v>
      </c>
      <c r="L705" s="152">
        <v>0</v>
      </c>
      <c r="M705" s="152"/>
      <c r="N705" s="402">
        <f t="shared" si="199"/>
        <v>0</v>
      </c>
      <c r="O705" s="402">
        <f t="shared" si="200"/>
        <v>0</v>
      </c>
      <c r="P705" s="403"/>
      <c r="Q705" s="152">
        <f t="shared" si="207"/>
        <v>0</v>
      </c>
      <c r="R705" s="152">
        <f t="shared" si="207"/>
        <v>0</v>
      </c>
      <c r="S705" s="402">
        <f t="shared" si="202"/>
        <v>0</v>
      </c>
      <c r="T705" s="404">
        <f t="shared" si="203"/>
        <v>0</v>
      </c>
      <c r="U705" s="403"/>
      <c r="W705" s="43" t="str">
        <f t="shared" si="208"/>
        <v/>
      </c>
      <c r="X705" s="43" t="str">
        <f t="shared" si="146"/>
        <v/>
      </c>
      <c r="Y705" s="43" t="str">
        <f t="shared" si="195"/>
        <v/>
      </c>
    </row>
    <row r="706" spans="1:25" hidden="1">
      <c r="A706" s="155">
        <v>776</v>
      </c>
      <c r="B706" s="156" t="s">
        <v>591</v>
      </c>
      <c r="C706" s="411" t="s">
        <v>712</v>
      </c>
      <c r="D706" s="351"/>
      <c r="E706" s="405"/>
      <c r="F706" s="406"/>
      <c r="G706" s="158"/>
      <c r="H706" s="465">
        <v>17.47</v>
      </c>
      <c r="I706" s="465">
        <f t="shared" si="210"/>
        <v>17.47</v>
      </c>
      <c r="J706" s="407">
        <f t="shared" si="198"/>
        <v>22.15</v>
      </c>
      <c r="K706" s="408" t="s">
        <v>23</v>
      </c>
      <c r="L706" s="152">
        <v>0</v>
      </c>
      <c r="M706" s="152"/>
      <c r="N706" s="402">
        <f t="shared" si="199"/>
        <v>0</v>
      </c>
      <c r="O706" s="402">
        <f t="shared" si="200"/>
        <v>0</v>
      </c>
      <c r="P706" s="403"/>
      <c r="Q706" s="152">
        <f t="shared" si="207"/>
        <v>0</v>
      </c>
      <c r="R706" s="152">
        <f t="shared" si="207"/>
        <v>0</v>
      </c>
      <c r="S706" s="402">
        <f t="shared" si="202"/>
        <v>0</v>
      </c>
      <c r="T706" s="404">
        <f t="shared" si="203"/>
        <v>0</v>
      </c>
      <c r="U706" s="403"/>
      <c r="W706" s="43" t="str">
        <f t="shared" si="208"/>
        <v/>
      </c>
      <c r="X706" s="43" t="str">
        <f t="shared" si="146"/>
        <v/>
      </c>
      <c r="Y706" s="43" t="str">
        <f t="shared" si="195"/>
        <v/>
      </c>
    </row>
    <row r="707" spans="1:25" hidden="1">
      <c r="A707" s="155" t="s">
        <v>709</v>
      </c>
      <c r="B707" s="156" t="s">
        <v>591</v>
      </c>
      <c r="C707" s="411" t="s">
        <v>713</v>
      </c>
      <c r="D707" s="351"/>
      <c r="E707" s="405"/>
      <c r="F707" s="406"/>
      <c r="G707" s="158"/>
      <c r="H707" s="465">
        <v>6.85</v>
      </c>
      <c r="I707" s="465">
        <f t="shared" si="210"/>
        <v>6.85</v>
      </c>
      <c r="J707" s="407">
        <f t="shared" si="198"/>
        <v>8.69</v>
      </c>
      <c r="K707" s="408" t="s">
        <v>23</v>
      </c>
      <c r="L707" s="152">
        <v>0</v>
      </c>
      <c r="M707" s="152"/>
      <c r="N707" s="402">
        <f t="shared" si="199"/>
        <v>0</v>
      </c>
      <c r="O707" s="402">
        <f t="shared" si="200"/>
        <v>0</v>
      </c>
      <c r="P707" s="403"/>
      <c r="Q707" s="152">
        <f t="shared" si="207"/>
        <v>0</v>
      </c>
      <c r="R707" s="152">
        <f t="shared" si="207"/>
        <v>0</v>
      </c>
      <c r="S707" s="402">
        <f t="shared" si="202"/>
        <v>0</v>
      </c>
      <c r="T707" s="404">
        <f t="shared" si="203"/>
        <v>0</v>
      </c>
      <c r="U707" s="403"/>
      <c r="W707" s="43" t="str">
        <f t="shared" si="208"/>
        <v/>
      </c>
      <c r="X707" s="43" t="str">
        <f t="shared" si="146"/>
        <v/>
      </c>
      <c r="Y707" s="43" t="str">
        <f t="shared" si="195"/>
        <v/>
      </c>
    </row>
    <row r="708" spans="1:25" hidden="1">
      <c r="A708" s="155">
        <v>862</v>
      </c>
      <c r="B708" s="156" t="s">
        <v>591</v>
      </c>
      <c r="C708" s="344" t="s">
        <v>824</v>
      </c>
      <c r="D708" s="351"/>
      <c r="E708" s="405"/>
      <c r="F708" s="406"/>
      <c r="G708" s="158"/>
      <c r="H708" s="465">
        <v>425.19</v>
      </c>
      <c r="I708" s="465">
        <f t="shared" si="210"/>
        <v>425.19</v>
      </c>
      <c r="J708" s="407">
        <f t="shared" si="198"/>
        <v>539.14</v>
      </c>
      <c r="K708" s="408" t="s">
        <v>16</v>
      </c>
      <c r="L708" s="152">
        <v>0</v>
      </c>
      <c r="M708" s="152"/>
      <c r="N708" s="402">
        <f t="shared" si="199"/>
        <v>0</v>
      </c>
      <c r="O708" s="402">
        <f t="shared" si="200"/>
        <v>0</v>
      </c>
      <c r="P708" s="403"/>
      <c r="Q708" s="152">
        <f t="shared" si="207"/>
        <v>0</v>
      </c>
      <c r="R708" s="152">
        <f t="shared" si="207"/>
        <v>0</v>
      </c>
      <c r="S708" s="402">
        <f t="shared" si="202"/>
        <v>0</v>
      </c>
      <c r="T708" s="404">
        <f t="shared" si="203"/>
        <v>0</v>
      </c>
      <c r="U708" s="403"/>
      <c r="W708" s="43" t="str">
        <f t="shared" si="208"/>
        <v/>
      </c>
      <c r="X708" s="43" t="str">
        <f t="shared" si="146"/>
        <v/>
      </c>
      <c r="Y708" s="43" t="str">
        <f t="shared" si="195"/>
        <v/>
      </c>
    </row>
    <row r="709" spans="1:25" hidden="1">
      <c r="A709" s="155" t="s">
        <v>710</v>
      </c>
      <c r="B709" s="156" t="s">
        <v>591</v>
      </c>
      <c r="C709" s="411" t="s">
        <v>714</v>
      </c>
      <c r="D709" s="351"/>
      <c r="E709" s="405"/>
      <c r="F709" s="406"/>
      <c r="G709" s="158"/>
      <c r="H709" s="465">
        <v>297.73</v>
      </c>
      <c r="I709" s="465">
        <f t="shared" si="210"/>
        <v>297.73</v>
      </c>
      <c r="J709" s="407">
        <f t="shared" si="198"/>
        <v>377.52</v>
      </c>
      <c r="K709" s="408" t="s">
        <v>16</v>
      </c>
      <c r="L709" s="152">
        <v>0</v>
      </c>
      <c r="M709" s="152"/>
      <c r="N709" s="402">
        <f t="shared" si="199"/>
        <v>0</v>
      </c>
      <c r="O709" s="402">
        <f t="shared" si="200"/>
        <v>0</v>
      </c>
      <c r="P709" s="403"/>
      <c r="Q709" s="152">
        <f t="shared" ref="Q709:R724" si="211">L709</f>
        <v>0</v>
      </c>
      <c r="R709" s="152">
        <f t="shared" si="211"/>
        <v>0</v>
      </c>
      <c r="S709" s="402">
        <f t="shared" si="202"/>
        <v>0</v>
      </c>
      <c r="T709" s="404">
        <f t="shared" si="203"/>
        <v>0</v>
      </c>
      <c r="U709" s="403"/>
      <c r="W709" s="43" t="str">
        <f t="shared" si="208"/>
        <v/>
      </c>
      <c r="X709" s="43" t="str">
        <f t="shared" si="146"/>
        <v/>
      </c>
      <c r="Y709" s="43" t="str">
        <f t="shared" si="195"/>
        <v/>
      </c>
    </row>
    <row r="710" spans="1:25" hidden="1">
      <c r="A710" s="155">
        <v>875</v>
      </c>
      <c r="B710" s="156" t="s">
        <v>591</v>
      </c>
      <c r="C710" s="344" t="s">
        <v>715</v>
      </c>
      <c r="D710" s="351"/>
      <c r="E710" s="405"/>
      <c r="F710" s="406"/>
      <c r="G710" s="158"/>
      <c r="H710" s="465">
        <v>7.19</v>
      </c>
      <c r="I710" s="465">
        <f t="shared" si="210"/>
        <v>7.19</v>
      </c>
      <c r="J710" s="407">
        <f t="shared" si="198"/>
        <v>9.1199999999999992</v>
      </c>
      <c r="K710" s="408" t="s">
        <v>23</v>
      </c>
      <c r="L710" s="152">
        <v>0</v>
      </c>
      <c r="M710" s="152"/>
      <c r="N710" s="402">
        <f t="shared" si="199"/>
        <v>0</v>
      </c>
      <c r="O710" s="402">
        <f t="shared" si="200"/>
        <v>0</v>
      </c>
      <c r="P710" s="403"/>
      <c r="Q710" s="152">
        <f t="shared" si="211"/>
        <v>0</v>
      </c>
      <c r="R710" s="152">
        <f t="shared" si="211"/>
        <v>0</v>
      </c>
      <c r="S710" s="402">
        <f t="shared" si="202"/>
        <v>0</v>
      </c>
      <c r="T710" s="404">
        <f t="shared" si="203"/>
        <v>0</v>
      </c>
      <c r="U710" s="403"/>
      <c r="W710" s="43" t="str">
        <f t="shared" si="208"/>
        <v/>
      </c>
      <c r="X710" s="43" t="str">
        <f t="shared" si="146"/>
        <v/>
      </c>
      <c r="Y710" s="43" t="str">
        <f t="shared" si="195"/>
        <v/>
      </c>
    </row>
    <row r="711" spans="1:25" hidden="1">
      <c r="A711" s="155" t="s">
        <v>711</v>
      </c>
      <c r="B711" s="156" t="s">
        <v>591</v>
      </c>
      <c r="C711" s="344" t="s">
        <v>716</v>
      </c>
      <c r="D711" s="351"/>
      <c r="E711" s="405"/>
      <c r="F711" s="406"/>
      <c r="G711" s="158"/>
      <c r="H711" s="465">
        <v>2.74</v>
      </c>
      <c r="I711" s="465">
        <f t="shared" si="210"/>
        <v>2.74</v>
      </c>
      <c r="J711" s="407">
        <f t="shared" si="198"/>
        <v>3.47</v>
      </c>
      <c r="K711" s="408" t="s">
        <v>23</v>
      </c>
      <c r="L711" s="152">
        <v>0</v>
      </c>
      <c r="M711" s="152"/>
      <c r="N711" s="402">
        <f t="shared" si="199"/>
        <v>0</v>
      </c>
      <c r="O711" s="402">
        <f t="shared" si="200"/>
        <v>0</v>
      </c>
      <c r="P711" s="403"/>
      <c r="Q711" s="152">
        <f t="shared" si="211"/>
        <v>0</v>
      </c>
      <c r="R711" s="152">
        <f t="shared" si="211"/>
        <v>0</v>
      </c>
      <c r="S711" s="402">
        <f t="shared" si="202"/>
        <v>0</v>
      </c>
      <c r="T711" s="404">
        <f t="shared" si="203"/>
        <v>0</v>
      </c>
      <c r="U711" s="403"/>
      <c r="W711" s="43" t="str">
        <f t="shared" si="208"/>
        <v/>
      </c>
      <c r="X711" s="43" t="str">
        <f t="shared" si="146"/>
        <v/>
      </c>
      <c r="Y711" s="43" t="str">
        <f t="shared" si="195"/>
        <v/>
      </c>
    </row>
    <row r="712" spans="1:25" hidden="1">
      <c r="A712" s="155">
        <v>780</v>
      </c>
      <c r="B712" s="156" t="s">
        <v>591</v>
      </c>
      <c r="C712" s="411" t="s">
        <v>786</v>
      </c>
      <c r="D712" s="351"/>
      <c r="E712" s="405"/>
      <c r="F712" s="406"/>
      <c r="G712" s="158"/>
      <c r="H712" s="465">
        <v>528.30999999999995</v>
      </c>
      <c r="I712" s="465">
        <f t="shared" si="210"/>
        <v>528.30999999999995</v>
      </c>
      <c r="J712" s="407">
        <f t="shared" si="198"/>
        <v>669.9</v>
      </c>
      <c r="K712" s="408" t="s">
        <v>203</v>
      </c>
      <c r="L712" s="152">
        <v>0</v>
      </c>
      <c r="M712" s="152"/>
      <c r="N712" s="402">
        <f t="shared" si="199"/>
        <v>0</v>
      </c>
      <c r="O712" s="402">
        <f t="shared" si="200"/>
        <v>0</v>
      </c>
      <c r="P712" s="403"/>
      <c r="Q712" s="152">
        <f t="shared" si="211"/>
        <v>0</v>
      </c>
      <c r="R712" s="152">
        <f t="shared" si="211"/>
        <v>0</v>
      </c>
      <c r="S712" s="402">
        <f t="shared" si="202"/>
        <v>0</v>
      </c>
      <c r="T712" s="404">
        <f t="shared" si="203"/>
        <v>0</v>
      </c>
      <c r="U712" s="403"/>
      <c r="W712" s="43" t="str">
        <f t="shared" si="208"/>
        <v/>
      </c>
      <c r="X712" s="43" t="str">
        <f t="shared" ref="X712:X944" si="212">IF(V712="X","x",IF(V712="y","x",IF(V712="xx","x",IF(T712&gt;0,"x",""))))</f>
        <v/>
      </c>
      <c r="Y712" s="43" t="str">
        <f t="shared" si="195"/>
        <v/>
      </c>
    </row>
    <row r="713" spans="1:25" hidden="1">
      <c r="A713" s="155" t="s">
        <v>728</v>
      </c>
      <c r="B713" s="156" t="s">
        <v>591</v>
      </c>
      <c r="C713" s="411" t="s">
        <v>787</v>
      </c>
      <c r="D713" s="351"/>
      <c r="E713" s="405"/>
      <c r="F713" s="406"/>
      <c r="G713" s="158"/>
      <c r="H713" s="465">
        <v>211.39</v>
      </c>
      <c r="I713" s="465">
        <f t="shared" si="210"/>
        <v>211.39</v>
      </c>
      <c r="J713" s="407">
        <f t="shared" si="198"/>
        <v>268.04000000000002</v>
      </c>
      <c r="K713" s="408" t="s">
        <v>203</v>
      </c>
      <c r="L713" s="152">
        <v>0</v>
      </c>
      <c r="M713" s="152"/>
      <c r="N713" s="402">
        <f t="shared" si="199"/>
        <v>0</v>
      </c>
      <c r="O713" s="402">
        <f t="shared" si="200"/>
        <v>0</v>
      </c>
      <c r="P713" s="403"/>
      <c r="Q713" s="152">
        <f t="shared" si="211"/>
        <v>0</v>
      </c>
      <c r="R713" s="152">
        <f t="shared" si="211"/>
        <v>0</v>
      </c>
      <c r="S713" s="402">
        <f t="shared" si="202"/>
        <v>0</v>
      </c>
      <c r="T713" s="404">
        <f t="shared" si="203"/>
        <v>0</v>
      </c>
      <c r="U713" s="403"/>
      <c r="W713" s="43" t="str">
        <f t="shared" si="208"/>
        <v/>
      </c>
      <c r="X713" s="43" t="str">
        <f t="shared" si="212"/>
        <v/>
      </c>
      <c r="Y713" s="43" t="str">
        <f t="shared" si="195"/>
        <v/>
      </c>
    </row>
    <row r="714" spans="1:25" ht="25.5" hidden="1">
      <c r="A714" s="155">
        <v>781</v>
      </c>
      <c r="B714" s="156" t="s">
        <v>591</v>
      </c>
      <c r="C714" s="411" t="s">
        <v>737</v>
      </c>
      <c r="D714" s="351"/>
      <c r="E714" s="405"/>
      <c r="F714" s="406"/>
      <c r="G714" s="158"/>
      <c r="H714" s="465">
        <v>879.15</v>
      </c>
      <c r="I714" s="465">
        <f t="shared" si="210"/>
        <v>879.15</v>
      </c>
      <c r="J714" s="407">
        <f t="shared" ref="J714:J777" si="213">IF(ISBLANK(H714),0,ROUND(I714*(1+$E$10)*(1+$E$11*D714),2))</f>
        <v>1114.76</v>
      </c>
      <c r="K714" s="408" t="s">
        <v>203</v>
      </c>
      <c r="L714" s="152">
        <v>0</v>
      </c>
      <c r="M714" s="152"/>
      <c r="N714" s="402">
        <f t="shared" ref="N714:N777" si="214">IF(ISBLANK(L714),0,ROUND(J714*L714,2))</f>
        <v>0</v>
      </c>
      <c r="O714" s="402">
        <f t="shared" ref="O714:O777" si="215">IF(ISBLANK(M714),0,ROUND(L714*M714,2))</f>
        <v>0</v>
      </c>
      <c r="P714" s="403"/>
      <c r="Q714" s="152">
        <f t="shared" si="211"/>
        <v>0</v>
      </c>
      <c r="R714" s="152">
        <f t="shared" si="211"/>
        <v>0</v>
      </c>
      <c r="S714" s="402">
        <f t="shared" ref="S714:S777" si="216">IF(ISBLANK(Q714),0,ROUND(J714*Q714,2))</f>
        <v>0</v>
      </c>
      <c r="T714" s="404">
        <f t="shared" ref="T714:T777" si="217">IF(ISBLANK(Q714),0,ROUND(Q714*R714,2))</f>
        <v>0</v>
      </c>
      <c r="U714" s="403"/>
      <c r="W714" s="43" t="str">
        <f t="shared" si="208"/>
        <v/>
      </c>
      <c r="X714" s="43" t="str">
        <f t="shared" si="212"/>
        <v/>
      </c>
      <c r="Y714" s="43" t="str">
        <f t="shared" si="195"/>
        <v/>
      </c>
    </row>
    <row r="715" spans="1:25" ht="25.5" hidden="1">
      <c r="A715" s="155" t="s">
        <v>729</v>
      </c>
      <c r="B715" s="156" t="s">
        <v>591</v>
      </c>
      <c r="C715" s="411" t="s">
        <v>738</v>
      </c>
      <c r="D715" s="351"/>
      <c r="E715" s="405"/>
      <c r="F715" s="406"/>
      <c r="G715" s="158"/>
      <c r="H715" s="465">
        <v>351.52</v>
      </c>
      <c r="I715" s="465">
        <f t="shared" si="210"/>
        <v>351.52</v>
      </c>
      <c r="J715" s="407">
        <f t="shared" si="213"/>
        <v>445.73</v>
      </c>
      <c r="K715" s="408" t="s">
        <v>203</v>
      </c>
      <c r="L715" s="152">
        <v>0</v>
      </c>
      <c r="M715" s="152"/>
      <c r="N715" s="402">
        <f t="shared" si="214"/>
        <v>0</v>
      </c>
      <c r="O715" s="402">
        <f t="shared" si="215"/>
        <v>0</v>
      </c>
      <c r="P715" s="403"/>
      <c r="Q715" s="152">
        <f t="shared" si="211"/>
        <v>0</v>
      </c>
      <c r="R715" s="152">
        <f t="shared" si="211"/>
        <v>0</v>
      </c>
      <c r="S715" s="402">
        <f t="shared" si="216"/>
        <v>0</v>
      </c>
      <c r="T715" s="404">
        <f t="shared" si="217"/>
        <v>0</v>
      </c>
      <c r="U715" s="403"/>
      <c r="W715" s="43" t="str">
        <f t="shared" si="208"/>
        <v/>
      </c>
      <c r="X715" s="43" t="str">
        <f t="shared" si="212"/>
        <v/>
      </c>
      <c r="Y715" s="43" t="str">
        <f t="shared" si="195"/>
        <v/>
      </c>
    </row>
    <row r="716" spans="1:25" ht="25.5" hidden="1">
      <c r="A716" s="155">
        <v>782</v>
      </c>
      <c r="B716" s="156" t="s">
        <v>591</v>
      </c>
      <c r="C716" s="411" t="s">
        <v>739</v>
      </c>
      <c r="D716" s="351"/>
      <c r="E716" s="405"/>
      <c r="F716" s="406"/>
      <c r="G716" s="158"/>
      <c r="H716" s="465">
        <v>1465.37</v>
      </c>
      <c r="I716" s="465">
        <f t="shared" si="210"/>
        <v>1465.37</v>
      </c>
      <c r="J716" s="407">
        <f t="shared" si="213"/>
        <v>1858.09</v>
      </c>
      <c r="K716" s="408" t="s">
        <v>203</v>
      </c>
      <c r="L716" s="152">
        <v>0</v>
      </c>
      <c r="M716" s="152"/>
      <c r="N716" s="402">
        <f t="shared" si="214"/>
        <v>0</v>
      </c>
      <c r="O716" s="402">
        <f t="shared" si="215"/>
        <v>0</v>
      </c>
      <c r="P716" s="403"/>
      <c r="Q716" s="152">
        <f t="shared" si="211"/>
        <v>0</v>
      </c>
      <c r="R716" s="152">
        <f t="shared" si="211"/>
        <v>0</v>
      </c>
      <c r="S716" s="402">
        <f t="shared" si="216"/>
        <v>0</v>
      </c>
      <c r="T716" s="404">
        <f t="shared" si="217"/>
        <v>0</v>
      </c>
      <c r="U716" s="403"/>
      <c r="W716" s="43" t="str">
        <f t="shared" si="208"/>
        <v/>
      </c>
      <c r="X716" s="43" t="str">
        <f t="shared" si="212"/>
        <v/>
      </c>
      <c r="Y716" s="43" t="str">
        <f t="shared" si="195"/>
        <v/>
      </c>
    </row>
    <row r="717" spans="1:25" ht="25.5" hidden="1">
      <c r="A717" s="155" t="s">
        <v>730</v>
      </c>
      <c r="B717" s="156" t="s">
        <v>591</v>
      </c>
      <c r="C717" s="411" t="s">
        <v>740</v>
      </c>
      <c r="D717" s="351"/>
      <c r="E717" s="405"/>
      <c r="F717" s="406"/>
      <c r="G717" s="158"/>
      <c r="H717" s="465">
        <v>586.21</v>
      </c>
      <c r="I717" s="465">
        <f t="shared" si="210"/>
        <v>586.21</v>
      </c>
      <c r="J717" s="407">
        <f t="shared" si="213"/>
        <v>743.31</v>
      </c>
      <c r="K717" s="408" t="s">
        <v>203</v>
      </c>
      <c r="L717" s="152">
        <v>0</v>
      </c>
      <c r="M717" s="152"/>
      <c r="N717" s="402">
        <f t="shared" si="214"/>
        <v>0</v>
      </c>
      <c r="O717" s="402">
        <f t="shared" si="215"/>
        <v>0</v>
      </c>
      <c r="P717" s="403"/>
      <c r="Q717" s="152">
        <f t="shared" si="211"/>
        <v>0</v>
      </c>
      <c r="R717" s="152">
        <f t="shared" si="211"/>
        <v>0</v>
      </c>
      <c r="S717" s="402">
        <f t="shared" si="216"/>
        <v>0</v>
      </c>
      <c r="T717" s="404">
        <f t="shared" si="217"/>
        <v>0</v>
      </c>
      <c r="U717" s="403"/>
      <c r="W717" s="43" t="str">
        <f t="shared" si="208"/>
        <v/>
      </c>
      <c r="X717" s="43" t="str">
        <f t="shared" si="212"/>
        <v/>
      </c>
      <c r="Y717" s="43" t="str">
        <f t="shared" si="195"/>
        <v/>
      </c>
    </row>
    <row r="718" spans="1:25" ht="25.5" hidden="1">
      <c r="A718" s="155">
        <v>783</v>
      </c>
      <c r="B718" s="156" t="s">
        <v>591</v>
      </c>
      <c r="C718" s="411" t="s">
        <v>741</v>
      </c>
      <c r="D718" s="351"/>
      <c r="E718" s="405"/>
      <c r="F718" s="406"/>
      <c r="G718" s="158"/>
      <c r="H718" s="465">
        <v>1721.98</v>
      </c>
      <c r="I718" s="465">
        <f t="shared" si="210"/>
        <v>1721.98</v>
      </c>
      <c r="J718" s="407">
        <f t="shared" si="213"/>
        <v>2183.4699999999998</v>
      </c>
      <c r="K718" s="408" t="s">
        <v>203</v>
      </c>
      <c r="L718" s="152">
        <v>0</v>
      </c>
      <c r="M718" s="152"/>
      <c r="N718" s="402">
        <f t="shared" si="214"/>
        <v>0</v>
      </c>
      <c r="O718" s="402">
        <f t="shared" si="215"/>
        <v>0</v>
      </c>
      <c r="P718" s="403"/>
      <c r="Q718" s="152">
        <f t="shared" si="211"/>
        <v>0</v>
      </c>
      <c r="R718" s="152">
        <f t="shared" si="211"/>
        <v>0</v>
      </c>
      <c r="S718" s="402">
        <f t="shared" si="216"/>
        <v>0</v>
      </c>
      <c r="T718" s="404">
        <f t="shared" si="217"/>
        <v>0</v>
      </c>
      <c r="U718" s="403"/>
      <c r="W718" s="43" t="str">
        <f t="shared" si="208"/>
        <v/>
      </c>
      <c r="X718" s="43" t="str">
        <f t="shared" si="212"/>
        <v/>
      </c>
      <c r="Y718" s="43" t="str">
        <f t="shared" si="195"/>
        <v/>
      </c>
    </row>
    <row r="719" spans="1:25" hidden="1">
      <c r="A719" s="155" t="s">
        <v>731</v>
      </c>
      <c r="B719" s="156" t="s">
        <v>591</v>
      </c>
      <c r="C719" s="411" t="s">
        <v>742</v>
      </c>
      <c r="D719" s="351"/>
      <c r="E719" s="405"/>
      <c r="F719" s="406"/>
      <c r="G719" s="158"/>
      <c r="H719" s="465">
        <v>688.66</v>
      </c>
      <c r="I719" s="465">
        <f t="shared" si="210"/>
        <v>688.66</v>
      </c>
      <c r="J719" s="407">
        <f t="shared" si="213"/>
        <v>873.22</v>
      </c>
      <c r="K719" s="408" t="s">
        <v>203</v>
      </c>
      <c r="L719" s="152">
        <v>0</v>
      </c>
      <c r="M719" s="152"/>
      <c r="N719" s="402">
        <f t="shared" si="214"/>
        <v>0</v>
      </c>
      <c r="O719" s="402">
        <f t="shared" si="215"/>
        <v>0</v>
      </c>
      <c r="P719" s="403"/>
      <c r="Q719" s="152">
        <f t="shared" si="211"/>
        <v>0</v>
      </c>
      <c r="R719" s="152">
        <f t="shared" si="211"/>
        <v>0</v>
      </c>
      <c r="S719" s="402">
        <f t="shared" si="216"/>
        <v>0</v>
      </c>
      <c r="T719" s="404">
        <f t="shared" si="217"/>
        <v>0</v>
      </c>
      <c r="U719" s="403"/>
      <c r="W719" s="43" t="str">
        <f t="shared" si="208"/>
        <v/>
      </c>
      <c r="X719" s="43" t="str">
        <f t="shared" si="212"/>
        <v/>
      </c>
      <c r="Y719" s="43" t="str">
        <f t="shared" si="195"/>
        <v/>
      </c>
    </row>
    <row r="720" spans="1:25" ht="25.5" hidden="1">
      <c r="A720" s="155">
        <v>784</v>
      </c>
      <c r="B720" s="156" t="s">
        <v>591</v>
      </c>
      <c r="C720" s="411" t="s">
        <v>743</v>
      </c>
      <c r="D720" s="351"/>
      <c r="E720" s="405"/>
      <c r="F720" s="406"/>
      <c r="G720" s="158"/>
      <c r="H720" s="465">
        <v>642.75</v>
      </c>
      <c r="I720" s="465">
        <f t="shared" si="210"/>
        <v>642.75</v>
      </c>
      <c r="J720" s="407">
        <f t="shared" si="213"/>
        <v>815.01</v>
      </c>
      <c r="K720" s="408" t="s">
        <v>203</v>
      </c>
      <c r="L720" s="152">
        <v>0</v>
      </c>
      <c r="M720" s="152"/>
      <c r="N720" s="402">
        <f t="shared" si="214"/>
        <v>0</v>
      </c>
      <c r="O720" s="402">
        <f t="shared" si="215"/>
        <v>0</v>
      </c>
      <c r="P720" s="403"/>
      <c r="Q720" s="152">
        <f t="shared" si="211"/>
        <v>0</v>
      </c>
      <c r="R720" s="152">
        <f t="shared" si="211"/>
        <v>0</v>
      </c>
      <c r="S720" s="402">
        <f t="shared" si="216"/>
        <v>0</v>
      </c>
      <c r="T720" s="404">
        <f t="shared" si="217"/>
        <v>0</v>
      </c>
      <c r="U720" s="403"/>
      <c r="W720" s="43" t="str">
        <f t="shared" si="208"/>
        <v/>
      </c>
      <c r="X720" s="43" t="str">
        <f t="shared" si="212"/>
        <v/>
      </c>
      <c r="Y720" s="43" t="str">
        <f t="shared" si="195"/>
        <v/>
      </c>
    </row>
    <row r="721" spans="1:25" hidden="1">
      <c r="A721" s="155" t="s">
        <v>732</v>
      </c>
      <c r="B721" s="156" t="s">
        <v>591</v>
      </c>
      <c r="C721" s="411" t="s">
        <v>763</v>
      </c>
      <c r="D721" s="351"/>
      <c r="E721" s="405"/>
      <c r="F721" s="406"/>
      <c r="G721" s="158"/>
      <c r="H721" s="465">
        <v>256.95999999999998</v>
      </c>
      <c r="I721" s="465">
        <f t="shared" si="210"/>
        <v>256.95999999999998</v>
      </c>
      <c r="J721" s="407">
        <f t="shared" si="213"/>
        <v>325.83</v>
      </c>
      <c r="K721" s="408" t="s">
        <v>203</v>
      </c>
      <c r="L721" s="152">
        <v>0</v>
      </c>
      <c r="M721" s="152"/>
      <c r="N721" s="402">
        <f t="shared" si="214"/>
        <v>0</v>
      </c>
      <c r="O721" s="402">
        <f t="shared" si="215"/>
        <v>0</v>
      </c>
      <c r="P721" s="403"/>
      <c r="Q721" s="152">
        <f t="shared" si="211"/>
        <v>0</v>
      </c>
      <c r="R721" s="152">
        <f t="shared" si="211"/>
        <v>0</v>
      </c>
      <c r="S721" s="402">
        <f t="shared" si="216"/>
        <v>0</v>
      </c>
      <c r="T721" s="404">
        <f t="shared" si="217"/>
        <v>0</v>
      </c>
      <c r="U721" s="403"/>
      <c r="W721" s="43" t="str">
        <f t="shared" si="208"/>
        <v/>
      </c>
      <c r="X721" s="43" t="str">
        <f t="shared" si="212"/>
        <v/>
      </c>
      <c r="Y721" s="43" t="str">
        <f t="shared" si="195"/>
        <v/>
      </c>
    </row>
    <row r="722" spans="1:25" hidden="1">
      <c r="A722" s="155">
        <v>785</v>
      </c>
      <c r="B722" s="156" t="s">
        <v>591</v>
      </c>
      <c r="C722" s="411" t="s">
        <v>744</v>
      </c>
      <c r="D722" s="351"/>
      <c r="E722" s="405"/>
      <c r="F722" s="406"/>
      <c r="G722" s="158"/>
      <c r="H722" s="465">
        <v>1706.57</v>
      </c>
      <c r="I722" s="465">
        <f t="shared" si="210"/>
        <v>1706.57</v>
      </c>
      <c r="J722" s="407">
        <f t="shared" si="213"/>
        <v>2163.9299999999998</v>
      </c>
      <c r="K722" s="408" t="s">
        <v>203</v>
      </c>
      <c r="L722" s="152">
        <v>0</v>
      </c>
      <c r="M722" s="152"/>
      <c r="N722" s="402">
        <f t="shared" si="214"/>
        <v>0</v>
      </c>
      <c r="O722" s="402">
        <f t="shared" si="215"/>
        <v>0</v>
      </c>
      <c r="P722" s="403"/>
      <c r="Q722" s="152">
        <f t="shared" si="211"/>
        <v>0</v>
      </c>
      <c r="R722" s="152">
        <f t="shared" si="211"/>
        <v>0</v>
      </c>
      <c r="S722" s="402">
        <f t="shared" si="216"/>
        <v>0</v>
      </c>
      <c r="T722" s="404">
        <f t="shared" si="217"/>
        <v>0</v>
      </c>
      <c r="U722" s="403"/>
      <c r="W722" s="43" t="str">
        <f t="shared" si="208"/>
        <v/>
      </c>
      <c r="X722" s="43" t="str">
        <f t="shared" si="212"/>
        <v/>
      </c>
      <c r="Y722" s="43" t="str">
        <f t="shared" si="195"/>
        <v/>
      </c>
    </row>
    <row r="723" spans="1:25" hidden="1">
      <c r="A723" s="155" t="s">
        <v>733</v>
      </c>
      <c r="B723" s="156" t="s">
        <v>591</v>
      </c>
      <c r="C723" s="411" t="s">
        <v>745</v>
      </c>
      <c r="D723" s="351"/>
      <c r="E723" s="405"/>
      <c r="F723" s="406"/>
      <c r="G723" s="158"/>
      <c r="H723" s="465">
        <v>659.19</v>
      </c>
      <c r="I723" s="465">
        <f t="shared" si="210"/>
        <v>659.19</v>
      </c>
      <c r="J723" s="407">
        <f t="shared" si="213"/>
        <v>835.85</v>
      </c>
      <c r="K723" s="408" t="s">
        <v>203</v>
      </c>
      <c r="L723" s="152">
        <v>0</v>
      </c>
      <c r="M723" s="152"/>
      <c r="N723" s="402">
        <f t="shared" si="214"/>
        <v>0</v>
      </c>
      <c r="O723" s="402">
        <f t="shared" si="215"/>
        <v>0</v>
      </c>
      <c r="P723" s="403"/>
      <c r="Q723" s="152">
        <f t="shared" si="211"/>
        <v>0</v>
      </c>
      <c r="R723" s="152">
        <f t="shared" si="211"/>
        <v>0</v>
      </c>
      <c r="S723" s="402">
        <f t="shared" si="216"/>
        <v>0</v>
      </c>
      <c r="T723" s="404">
        <f t="shared" si="217"/>
        <v>0</v>
      </c>
      <c r="U723" s="403"/>
      <c r="W723" s="43" t="str">
        <f t="shared" si="208"/>
        <v/>
      </c>
      <c r="X723" s="43" t="str">
        <f t="shared" si="212"/>
        <v/>
      </c>
      <c r="Y723" s="43" t="str">
        <f t="shared" si="195"/>
        <v/>
      </c>
    </row>
    <row r="724" spans="1:25" hidden="1">
      <c r="A724" s="155">
        <v>786</v>
      </c>
      <c r="B724" s="156" t="s">
        <v>591</v>
      </c>
      <c r="C724" s="411" t="s">
        <v>746</v>
      </c>
      <c r="D724" s="351"/>
      <c r="E724" s="405"/>
      <c r="F724" s="406"/>
      <c r="G724" s="158"/>
      <c r="H724" s="465">
        <v>535.51</v>
      </c>
      <c r="I724" s="465">
        <f t="shared" si="210"/>
        <v>535.51</v>
      </c>
      <c r="J724" s="407">
        <f t="shared" si="213"/>
        <v>679.03</v>
      </c>
      <c r="K724" s="408" t="s">
        <v>203</v>
      </c>
      <c r="L724" s="152">
        <v>0</v>
      </c>
      <c r="M724" s="152"/>
      <c r="N724" s="402">
        <f t="shared" si="214"/>
        <v>0</v>
      </c>
      <c r="O724" s="402">
        <f t="shared" si="215"/>
        <v>0</v>
      </c>
      <c r="P724" s="403"/>
      <c r="Q724" s="152">
        <f t="shared" si="211"/>
        <v>0</v>
      </c>
      <c r="R724" s="152">
        <f t="shared" si="211"/>
        <v>0</v>
      </c>
      <c r="S724" s="402">
        <f t="shared" si="216"/>
        <v>0</v>
      </c>
      <c r="T724" s="404">
        <f t="shared" si="217"/>
        <v>0</v>
      </c>
      <c r="U724" s="403"/>
      <c r="W724" s="43" t="str">
        <f t="shared" si="208"/>
        <v/>
      </c>
      <c r="X724" s="43" t="str">
        <f t="shared" si="212"/>
        <v/>
      </c>
      <c r="Y724" s="43" t="str">
        <f t="shared" si="195"/>
        <v/>
      </c>
    </row>
    <row r="725" spans="1:25" hidden="1">
      <c r="A725" s="155" t="s">
        <v>734</v>
      </c>
      <c r="B725" s="156" t="s">
        <v>591</v>
      </c>
      <c r="C725" s="411" t="s">
        <v>747</v>
      </c>
      <c r="D725" s="351"/>
      <c r="E725" s="405"/>
      <c r="F725" s="406"/>
      <c r="G725" s="158"/>
      <c r="H725" s="465">
        <v>214.13</v>
      </c>
      <c r="I725" s="465">
        <f t="shared" si="210"/>
        <v>214.13</v>
      </c>
      <c r="J725" s="407">
        <f t="shared" si="213"/>
        <v>271.52</v>
      </c>
      <c r="K725" s="408" t="s">
        <v>203</v>
      </c>
      <c r="L725" s="152">
        <v>0</v>
      </c>
      <c r="M725" s="152"/>
      <c r="N725" s="402">
        <f t="shared" si="214"/>
        <v>0</v>
      </c>
      <c r="O725" s="402">
        <f t="shared" si="215"/>
        <v>0</v>
      </c>
      <c r="P725" s="403"/>
      <c r="Q725" s="152">
        <f t="shared" ref="Q725:R742" si="218">L725</f>
        <v>0</v>
      </c>
      <c r="R725" s="152">
        <f t="shared" si="218"/>
        <v>0</v>
      </c>
      <c r="S725" s="402">
        <f t="shared" si="216"/>
        <v>0</v>
      </c>
      <c r="T725" s="404">
        <f t="shared" si="217"/>
        <v>0</v>
      </c>
      <c r="U725" s="403"/>
      <c r="W725" s="43" t="str">
        <f t="shared" si="208"/>
        <v/>
      </c>
      <c r="X725" s="43" t="str">
        <f t="shared" si="212"/>
        <v/>
      </c>
      <c r="Y725" s="43" t="str">
        <f t="shared" si="195"/>
        <v/>
      </c>
    </row>
    <row r="726" spans="1:25" hidden="1">
      <c r="A726" s="155">
        <v>787</v>
      </c>
      <c r="B726" s="156" t="s">
        <v>591</v>
      </c>
      <c r="C726" s="411" t="s">
        <v>748</v>
      </c>
      <c r="D726" s="351"/>
      <c r="E726" s="405"/>
      <c r="F726" s="406"/>
      <c r="G726" s="158"/>
      <c r="H726" s="465">
        <v>484.12</v>
      </c>
      <c r="I726" s="465">
        <f t="shared" si="210"/>
        <v>484.12</v>
      </c>
      <c r="J726" s="407">
        <f t="shared" si="213"/>
        <v>613.86</v>
      </c>
      <c r="K726" s="408" t="s">
        <v>203</v>
      </c>
      <c r="L726" s="152">
        <v>0</v>
      </c>
      <c r="M726" s="152"/>
      <c r="N726" s="402">
        <f t="shared" si="214"/>
        <v>0</v>
      </c>
      <c r="O726" s="402">
        <f t="shared" si="215"/>
        <v>0</v>
      </c>
      <c r="P726" s="403"/>
      <c r="Q726" s="152">
        <f t="shared" si="218"/>
        <v>0</v>
      </c>
      <c r="R726" s="152">
        <f t="shared" si="218"/>
        <v>0</v>
      </c>
      <c r="S726" s="402">
        <f t="shared" si="216"/>
        <v>0</v>
      </c>
      <c r="T726" s="404">
        <f t="shared" si="217"/>
        <v>0</v>
      </c>
      <c r="U726" s="403"/>
      <c r="W726" s="43" t="str">
        <f t="shared" si="208"/>
        <v/>
      </c>
      <c r="X726" s="43" t="str">
        <f t="shared" si="212"/>
        <v/>
      </c>
      <c r="Y726" s="43" t="str">
        <f t="shared" si="195"/>
        <v/>
      </c>
    </row>
    <row r="727" spans="1:25" hidden="1">
      <c r="A727" s="155" t="s">
        <v>735</v>
      </c>
      <c r="B727" s="156" t="s">
        <v>591</v>
      </c>
      <c r="C727" s="411" t="s">
        <v>749</v>
      </c>
      <c r="D727" s="351"/>
      <c r="E727" s="405"/>
      <c r="F727" s="406"/>
      <c r="G727" s="158"/>
      <c r="H727" s="465">
        <v>193.58</v>
      </c>
      <c r="I727" s="465">
        <f t="shared" si="210"/>
        <v>193.58</v>
      </c>
      <c r="J727" s="407">
        <f t="shared" si="213"/>
        <v>245.46</v>
      </c>
      <c r="K727" s="408" t="s">
        <v>203</v>
      </c>
      <c r="L727" s="152">
        <v>0</v>
      </c>
      <c r="M727" s="152"/>
      <c r="N727" s="402">
        <f t="shared" si="214"/>
        <v>0</v>
      </c>
      <c r="O727" s="402">
        <f t="shared" si="215"/>
        <v>0</v>
      </c>
      <c r="P727" s="403"/>
      <c r="Q727" s="152">
        <f t="shared" si="218"/>
        <v>0</v>
      </c>
      <c r="R727" s="152">
        <f t="shared" si="218"/>
        <v>0</v>
      </c>
      <c r="S727" s="402">
        <f t="shared" si="216"/>
        <v>0</v>
      </c>
      <c r="T727" s="404">
        <f t="shared" si="217"/>
        <v>0</v>
      </c>
      <c r="U727" s="403"/>
      <c r="W727" s="43" t="str">
        <f t="shared" si="208"/>
        <v/>
      </c>
      <c r="X727" s="43" t="str">
        <f t="shared" si="212"/>
        <v/>
      </c>
      <c r="Y727" s="43" t="str">
        <f t="shared" si="195"/>
        <v/>
      </c>
    </row>
    <row r="728" spans="1:25" hidden="1">
      <c r="A728" s="155">
        <v>790</v>
      </c>
      <c r="B728" s="156" t="s">
        <v>591</v>
      </c>
      <c r="C728" s="411" t="s">
        <v>750</v>
      </c>
      <c r="D728" s="351"/>
      <c r="E728" s="405"/>
      <c r="F728" s="406"/>
      <c r="G728" s="158"/>
      <c r="H728" s="465">
        <v>12.68</v>
      </c>
      <c r="I728" s="465">
        <f t="shared" si="210"/>
        <v>12.68</v>
      </c>
      <c r="J728" s="407">
        <f t="shared" si="213"/>
        <v>16.079999999999998</v>
      </c>
      <c r="K728" s="408" t="s">
        <v>20</v>
      </c>
      <c r="L728" s="152">
        <v>0</v>
      </c>
      <c r="M728" s="152"/>
      <c r="N728" s="402">
        <f t="shared" si="214"/>
        <v>0</v>
      </c>
      <c r="O728" s="402">
        <f t="shared" si="215"/>
        <v>0</v>
      </c>
      <c r="P728" s="403"/>
      <c r="Q728" s="152">
        <f t="shared" si="218"/>
        <v>0</v>
      </c>
      <c r="R728" s="152">
        <f t="shared" si="218"/>
        <v>0</v>
      </c>
      <c r="S728" s="402">
        <f t="shared" si="216"/>
        <v>0</v>
      </c>
      <c r="T728" s="404">
        <f t="shared" si="217"/>
        <v>0</v>
      </c>
      <c r="U728" s="403"/>
      <c r="W728" s="43" t="str">
        <f t="shared" si="208"/>
        <v/>
      </c>
      <c r="X728" s="43" t="str">
        <f t="shared" si="212"/>
        <v/>
      </c>
      <c r="Y728" s="43" t="str">
        <f t="shared" si="195"/>
        <v/>
      </c>
    </row>
    <row r="729" spans="1:25" hidden="1">
      <c r="A729" s="155" t="s">
        <v>736</v>
      </c>
      <c r="B729" s="156" t="s">
        <v>591</v>
      </c>
      <c r="C729" s="411" t="s">
        <v>751</v>
      </c>
      <c r="D729" s="351"/>
      <c r="E729" s="405"/>
      <c r="F729" s="406"/>
      <c r="G729" s="158"/>
      <c r="H729" s="465">
        <v>5.14</v>
      </c>
      <c r="I729" s="465">
        <f t="shared" si="210"/>
        <v>5.14</v>
      </c>
      <c r="J729" s="407">
        <f t="shared" si="213"/>
        <v>6.52</v>
      </c>
      <c r="K729" s="408" t="s">
        <v>20</v>
      </c>
      <c r="L729" s="152">
        <v>0</v>
      </c>
      <c r="M729" s="152"/>
      <c r="N729" s="402">
        <f t="shared" si="214"/>
        <v>0</v>
      </c>
      <c r="O729" s="402">
        <f t="shared" si="215"/>
        <v>0</v>
      </c>
      <c r="P729" s="403"/>
      <c r="Q729" s="152">
        <f t="shared" si="218"/>
        <v>0</v>
      </c>
      <c r="R729" s="152">
        <f t="shared" si="218"/>
        <v>0</v>
      </c>
      <c r="S729" s="402">
        <f t="shared" si="216"/>
        <v>0</v>
      </c>
      <c r="T729" s="404">
        <f t="shared" si="217"/>
        <v>0</v>
      </c>
      <c r="U729" s="403"/>
      <c r="W729" s="43" t="str">
        <f t="shared" si="208"/>
        <v/>
      </c>
      <c r="X729" s="43" t="str">
        <f t="shared" si="212"/>
        <v/>
      </c>
      <c r="Y729" s="43" t="str">
        <f t="shared" si="195"/>
        <v/>
      </c>
    </row>
    <row r="730" spans="1:25" hidden="1">
      <c r="A730" s="155">
        <v>800</v>
      </c>
      <c r="B730" s="156" t="s">
        <v>591</v>
      </c>
      <c r="C730" s="411" t="s">
        <v>752</v>
      </c>
      <c r="D730" s="351"/>
      <c r="E730" s="405"/>
      <c r="F730" s="406"/>
      <c r="G730" s="158"/>
      <c r="H730" s="465">
        <v>15.08</v>
      </c>
      <c r="I730" s="465">
        <f t="shared" si="210"/>
        <v>15.08</v>
      </c>
      <c r="J730" s="407">
        <f t="shared" si="213"/>
        <v>19.12</v>
      </c>
      <c r="K730" s="408" t="s">
        <v>23</v>
      </c>
      <c r="L730" s="152">
        <v>0</v>
      </c>
      <c r="M730" s="152"/>
      <c r="N730" s="402">
        <f t="shared" si="214"/>
        <v>0</v>
      </c>
      <c r="O730" s="402">
        <f t="shared" si="215"/>
        <v>0</v>
      </c>
      <c r="P730" s="403"/>
      <c r="Q730" s="152">
        <f t="shared" si="218"/>
        <v>0</v>
      </c>
      <c r="R730" s="152">
        <f t="shared" si="218"/>
        <v>0</v>
      </c>
      <c r="S730" s="402">
        <f t="shared" si="216"/>
        <v>0</v>
      </c>
      <c r="T730" s="404">
        <f t="shared" si="217"/>
        <v>0</v>
      </c>
      <c r="U730" s="403"/>
      <c r="W730" s="43" t="str">
        <f t="shared" si="208"/>
        <v/>
      </c>
      <c r="X730" s="43" t="str">
        <f t="shared" si="212"/>
        <v/>
      </c>
      <c r="Y730" s="43" t="str">
        <f t="shared" si="195"/>
        <v/>
      </c>
    </row>
    <row r="731" spans="1:25" hidden="1">
      <c r="A731" s="155">
        <v>860</v>
      </c>
      <c r="B731" s="156" t="s">
        <v>591</v>
      </c>
      <c r="C731" s="411" t="s">
        <v>757</v>
      </c>
      <c r="D731" s="351"/>
      <c r="E731" s="405"/>
      <c r="F731" s="406"/>
      <c r="G731" s="158"/>
      <c r="H731" s="465">
        <v>560.17999999999995</v>
      </c>
      <c r="I731" s="465">
        <f t="shared" si="210"/>
        <v>560.17999999999995</v>
      </c>
      <c r="J731" s="407">
        <f t="shared" si="213"/>
        <v>710.31</v>
      </c>
      <c r="K731" s="408" t="s">
        <v>203</v>
      </c>
      <c r="L731" s="152">
        <v>0</v>
      </c>
      <c r="M731" s="152"/>
      <c r="N731" s="402">
        <f t="shared" si="214"/>
        <v>0</v>
      </c>
      <c r="O731" s="402">
        <f t="shared" si="215"/>
        <v>0</v>
      </c>
      <c r="P731" s="403"/>
      <c r="Q731" s="152">
        <f t="shared" si="218"/>
        <v>0</v>
      </c>
      <c r="R731" s="152">
        <f t="shared" si="218"/>
        <v>0</v>
      </c>
      <c r="S731" s="402">
        <f t="shared" si="216"/>
        <v>0</v>
      </c>
      <c r="T731" s="404">
        <f t="shared" si="217"/>
        <v>0</v>
      </c>
      <c r="U731" s="403"/>
      <c r="W731" s="43" t="str">
        <f t="shared" si="208"/>
        <v/>
      </c>
      <c r="X731" s="43" t="str">
        <f t="shared" si="212"/>
        <v/>
      </c>
      <c r="Y731" s="43" t="str">
        <f t="shared" si="195"/>
        <v/>
      </c>
    </row>
    <row r="732" spans="1:25" hidden="1">
      <c r="A732" s="155" t="s">
        <v>754</v>
      </c>
      <c r="B732" s="156" t="s">
        <v>591</v>
      </c>
      <c r="C732" s="411" t="s">
        <v>758</v>
      </c>
      <c r="D732" s="351"/>
      <c r="E732" s="405"/>
      <c r="F732" s="406"/>
      <c r="G732" s="158"/>
      <c r="H732" s="465">
        <v>224.07</v>
      </c>
      <c r="I732" s="465">
        <f t="shared" si="210"/>
        <v>224.07</v>
      </c>
      <c r="J732" s="407">
        <f t="shared" si="213"/>
        <v>284.12</v>
      </c>
      <c r="K732" s="408" t="s">
        <v>203</v>
      </c>
      <c r="L732" s="152">
        <v>0</v>
      </c>
      <c r="M732" s="152"/>
      <c r="N732" s="402">
        <f t="shared" si="214"/>
        <v>0</v>
      </c>
      <c r="O732" s="402">
        <f t="shared" si="215"/>
        <v>0</v>
      </c>
      <c r="P732" s="403"/>
      <c r="Q732" s="152">
        <f t="shared" si="218"/>
        <v>0</v>
      </c>
      <c r="R732" s="152">
        <f t="shared" si="218"/>
        <v>0</v>
      </c>
      <c r="S732" s="402">
        <f t="shared" si="216"/>
        <v>0</v>
      </c>
      <c r="T732" s="404">
        <f t="shared" si="217"/>
        <v>0</v>
      </c>
      <c r="U732" s="403"/>
      <c r="W732" s="43" t="str">
        <f t="shared" si="208"/>
        <v/>
      </c>
      <c r="X732" s="43" t="str">
        <f t="shared" si="212"/>
        <v/>
      </c>
      <c r="Y732" s="43" t="str">
        <f t="shared" si="195"/>
        <v/>
      </c>
    </row>
    <row r="733" spans="1:25" hidden="1">
      <c r="A733" s="155">
        <v>864</v>
      </c>
      <c r="B733" s="156" t="s">
        <v>591</v>
      </c>
      <c r="C733" s="411" t="s">
        <v>760</v>
      </c>
      <c r="D733" s="351"/>
      <c r="E733" s="405"/>
      <c r="F733" s="406"/>
      <c r="G733" s="158"/>
      <c r="H733" s="465">
        <v>6.85</v>
      </c>
      <c r="I733" s="465">
        <f t="shared" si="210"/>
        <v>6.85</v>
      </c>
      <c r="J733" s="407">
        <f t="shared" si="213"/>
        <v>8.69</v>
      </c>
      <c r="K733" s="408" t="s">
        <v>20</v>
      </c>
      <c r="L733" s="152">
        <v>0</v>
      </c>
      <c r="M733" s="152"/>
      <c r="N733" s="402">
        <f t="shared" si="214"/>
        <v>0</v>
      </c>
      <c r="O733" s="402">
        <f t="shared" si="215"/>
        <v>0</v>
      </c>
      <c r="P733" s="403"/>
      <c r="Q733" s="152">
        <f t="shared" si="218"/>
        <v>0</v>
      </c>
      <c r="R733" s="152">
        <f t="shared" si="218"/>
        <v>0</v>
      </c>
      <c r="S733" s="402">
        <f t="shared" si="216"/>
        <v>0</v>
      </c>
      <c r="T733" s="404">
        <f t="shared" si="217"/>
        <v>0</v>
      </c>
      <c r="U733" s="403"/>
      <c r="W733" s="43" t="str">
        <f t="shared" si="208"/>
        <v/>
      </c>
      <c r="X733" s="43" t="str">
        <f t="shared" si="212"/>
        <v/>
      </c>
      <c r="Y733" s="43" t="str">
        <f t="shared" si="195"/>
        <v/>
      </c>
    </row>
    <row r="734" spans="1:25" hidden="1">
      <c r="A734" s="155" t="s">
        <v>755</v>
      </c>
      <c r="B734" s="156" t="s">
        <v>591</v>
      </c>
      <c r="C734" s="411" t="s">
        <v>761</v>
      </c>
      <c r="D734" s="351"/>
      <c r="E734" s="405"/>
      <c r="F734" s="406"/>
      <c r="G734" s="158"/>
      <c r="H734" s="465">
        <v>5.14</v>
      </c>
      <c r="I734" s="465">
        <f t="shared" si="210"/>
        <v>5.14</v>
      </c>
      <c r="J734" s="407">
        <f t="shared" si="213"/>
        <v>6.52</v>
      </c>
      <c r="K734" s="408" t="s">
        <v>20</v>
      </c>
      <c r="L734" s="152">
        <v>0</v>
      </c>
      <c r="M734" s="152"/>
      <c r="N734" s="402">
        <f t="shared" si="214"/>
        <v>0</v>
      </c>
      <c r="O734" s="402">
        <f t="shared" si="215"/>
        <v>0</v>
      </c>
      <c r="P734" s="403"/>
      <c r="Q734" s="152">
        <f t="shared" si="218"/>
        <v>0</v>
      </c>
      <c r="R734" s="152">
        <f t="shared" si="218"/>
        <v>0</v>
      </c>
      <c r="S734" s="402">
        <f t="shared" si="216"/>
        <v>0</v>
      </c>
      <c r="T734" s="404">
        <f t="shared" si="217"/>
        <v>0</v>
      </c>
      <c r="U734" s="403"/>
      <c r="W734" s="43" t="str">
        <f t="shared" si="208"/>
        <v/>
      </c>
      <c r="X734" s="43" t="str">
        <f t="shared" si="212"/>
        <v/>
      </c>
      <c r="Y734" s="43" t="str">
        <f t="shared" si="195"/>
        <v/>
      </c>
    </row>
    <row r="735" spans="1:25" hidden="1">
      <c r="A735" s="155">
        <v>866</v>
      </c>
      <c r="B735" s="156" t="s">
        <v>591</v>
      </c>
      <c r="C735" s="411" t="s">
        <v>759</v>
      </c>
      <c r="D735" s="351"/>
      <c r="E735" s="405"/>
      <c r="F735" s="406"/>
      <c r="G735" s="158"/>
      <c r="H735" s="465">
        <v>33.92</v>
      </c>
      <c r="I735" s="465">
        <f t="shared" si="210"/>
        <v>33.92</v>
      </c>
      <c r="J735" s="407">
        <f t="shared" si="213"/>
        <v>43.01</v>
      </c>
      <c r="K735" s="408" t="s">
        <v>23</v>
      </c>
      <c r="L735" s="152">
        <v>0</v>
      </c>
      <c r="M735" s="152"/>
      <c r="N735" s="402">
        <f t="shared" si="214"/>
        <v>0</v>
      </c>
      <c r="O735" s="402">
        <f t="shared" si="215"/>
        <v>0</v>
      </c>
      <c r="P735" s="403"/>
      <c r="Q735" s="152">
        <f t="shared" si="218"/>
        <v>0</v>
      </c>
      <c r="R735" s="152">
        <f t="shared" si="218"/>
        <v>0</v>
      </c>
      <c r="S735" s="402">
        <f t="shared" si="216"/>
        <v>0</v>
      </c>
      <c r="T735" s="404">
        <f t="shared" si="217"/>
        <v>0</v>
      </c>
      <c r="U735" s="403"/>
      <c r="W735" s="43" t="str">
        <f t="shared" si="208"/>
        <v/>
      </c>
      <c r="X735" s="43" t="str">
        <f t="shared" si="212"/>
        <v/>
      </c>
      <c r="Y735" s="43" t="str">
        <f t="shared" si="195"/>
        <v/>
      </c>
    </row>
    <row r="736" spans="1:25" hidden="1">
      <c r="A736" s="155" t="s">
        <v>756</v>
      </c>
      <c r="B736" s="156" t="s">
        <v>591</v>
      </c>
      <c r="C736" s="411" t="s">
        <v>762</v>
      </c>
      <c r="D736" s="351"/>
      <c r="E736" s="405"/>
      <c r="F736" s="406"/>
      <c r="G736" s="158"/>
      <c r="H736" s="465">
        <v>13.7</v>
      </c>
      <c r="I736" s="465">
        <f t="shared" si="210"/>
        <v>13.7</v>
      </c>
      <c r="J736" s="407">
        <f t="shared" si="213"/>
        <v>17.37</v>
      </c>
      <c r="K736" s="408" t="s">
        <v>23</v>
      </c>
      <c r="L736" s="152">
        <v>0</v>
      </c>
      <c r="M736" s="152"/>
      <c r="N736" s="402">
        <f t="shared" si="214"/>
        <v>0</v>
      </c>
      <c r="O736" s="402">
        <f t="shared" si="215"/>
        <v>0</v>
      </c>
      <c r="P736" s="403"/>
      <c r="Q736" s="152">
        <f t="shared" si="218"/>
        <v>0</v>
      </c>
      <c r="R736" s="152">
        <f t="shared" si="218"/>
        <v>0</v>
      </c>
      <c r="S736" s="402">
        <f t="shared" si="216"/>
        <v>0</v>
      </c>
      <c r="T736" s="404">
        <f t="shared" si="217"/>
        <v>0</v>
      </c>
      <c r="U736" s="403"/>
      <c r="W736" s="43" t="str">
        <f t="shared" si="208"/>
        <v/>
      </c>
      <c r="X736" s="43" t="str">
        <f t="shared" si="212"/>
        <v/>
      </c>
      <c r="Y736" s="43" t="str">
        <f t="shared" si="195"/>
        <v/>
      </c>
    </row>
    <row r="737" spans="1:25" hidden="1">
      <c r="A737" s="155">
        <v>792</v>
      </c>
      <c r="B737" s="156" t="s">
        <v>591</v>
      </c>
      <c r="C737" s="411" t="s">
        <v>785</v>
      </c>
      <c r="D737" s="351"/>
      <c r="E737" s="405"/>
      <c r="F737" s="406"/>
      <c r="G737" s="158"/>
      <c r="H737" s="465">
        <v>395.04</v>
      </c>
      <c r="I737" s="465">
        <f t="shared" si="210"/>
        <v>395.04</v>
      </c>
      <c r="J737" s="407">
        <f t="shared" si="213"/>
        <v>500.91</v>
      </c>
      <c r="K737" s="408" t="s">
        <v>203</v>
      </c>
      <c r="L737" s="152">
        <v>0</v>
      </c>
      <c r="M737" s="152"/>
      <c r="N737" s="402">
        <f t="shared" si="214"/>
        <v>0</v>
      </c>
      <c r="O737" s="402">
        <f t="shared" si="215"/>
        <v>0</v>
      </c>
      <c r="P737" s="403"/>
      <c r="Q737" s="152">
        <f t="shared" si="218"/>
        <v>0</v>
      </c>
      <c r="R737" s="152">
        <f t="shared" si="218"/>
        <v>0</v>
      </c>
      <c r="S737" s="402">
        <f t="shared" si="216"/>
        <v>0</v>
      </c>
      <c r="T737" s="404">
        <f t="shared" si="217"/>
        <v>0</v>
      </c>
      <c r="U737" s="403"/>
      <c r="W737" s="43" t="str">
        <f t="shared" si="208"/>
        <v/>
      </c>
      <c r="X737" s="43" t="str">
        <f t="shared" si="212"/>
        <v/>
      </c>
      <c r="Y737" s="43" t="str">
        <f t="shared" si="195"/>
        <v/>
      </c>
    </row>
    <row r="738" spans="1:25" hidden="1">
      <c r="A738" s="155" t="s">
        <v>782</v>
      </c>
      <c r="B738" s="156" t="s">
        <v>591</v>
      </c>
      <c r="C738" s="411" t="s">
        <v>862</v>
      </c>
      <c r="D738" s="351"/>
      <c r="E738" s="405"/>
      <c r="F738" s="406"/>
      <c r="G738" s="158"/>
      <c r="H738" s="465">
        <v>157.94999999999999</v>
      </c>
      <c r="I738" s="465">
        <f t="shared" si="210"/>
        <v>157.94999999999999</v>
      </c>
      <c r="J738" s="407">
        <f t="shared" si="213"/>
        <v>200.28</v>
      </c>
      <c r="K738" s="408" t="s">
        <v>203</v>
      </c>
      <c r="L738" s="152">
        <v>0</v>
      </c>
      <c r="M738" s="152"/>
      <c r="N738" s="402">
        <f t="shared" si="214"/>
        <v>0</v>
      </c>
      <c r="O738" s="402">
        <f t="shared" si="215"/>
        <v>0</v>
      </c>
      <c r="P738" s="403"/>
      <c r="Q738" s="152">
        <f t="shared" si="218"/>
        <v>0</v>
      </c>
      <c r="R738" s="152">
        <f t="shared" si="218"/>
        <v>0</v>
      </c>
      <c r="S738" s="402">
        <f t="shared" si="216"/>
        <v>0</v>
      </c>
      <c r="T738" s="404">
        <f t="shared" si="217"/>
        <v>0</v>
      </c>
      <c r="U738" s="403"/>
      <c r="W738" s="43" t="str">
        <f t="shared" si="208"/>
        <v/>
      </c>
      <c r="X738" s="43" t="str">
        <f t="shared" si="212"/>
        <v/>
      </c>
      <c r="Y738" s="43" t="str">
        <f t="shared" si="195"/>
        <v/>
      </c>
    </row>
    <row r="739" spans="1:25" ht="25.5" hidden="1">
      <c r="A739" s="155">
        <v>793</v>
      </c>
      <c r="B739" s="156" t="s">
        <v>591</v>
      </c>
      <c r="C739" s="411" t="s">
        <v>788</v>
      </c>
      <c r="D739" s="351"/>
      <c r="E739" s="405"/>
      <c r="F739" s="406"/>
      <c r="G739" s="158"/>
      <c r="H739" s="465">
        <v>504.33</v>
      </c>
      <c r="I739" s="465">
        <f t="shared" si="210"/>
        <v>504.33</v>
      </c>
      <c r="J739" s="407">
        <f t="shared" si="213"/>
        <v>639.49</v>
      </c>
      <c r="K739" s="408" t="s">
        <v>203</v>
      </c>
      <c r="L739" s="152">
        <v>0</v>
      </c>
      <c r="M739" s="152"/>
      <c r="N739" s="402">
        <f t="shared" si="214"/>
        <v>0</v>
      </c>
      <c r="O739" s="402">
        <f t="shared" si="215"/>
        <v>0</v>
      </c>
      <c r="P739" s="403"/>
      <c r="Q739" s="152">
        <f t="shared" si="218"/>
        <v>0</v>
      </c>
      <c r="R739" s="152">
        <f t="shared" si="218"/>
        <v>0</v>
      </c>
      <c r="S739" s="402">
        <f t="shared" si="216"/>
        <v>0</v>
      </c>
      <c r="T739" s="404">
        <f t="shared" si="217"/>
        <v>0</v>
      </c>
      <c r="U739" s="403"/>
      <c r="W739" s="43" t="str">
        <f t="shared" si="208"/>
        <v/>
      </c>
      <c r="X739" s="43" t="str">
        <f t="shared" si="212"/>
        <v/>
      </c>
      <c r="Y739" s="43" t="str">
        <f t="shared" si="195"/>
        <v/>
      </c>
    </row>
    <row r="740" spans="1:25" hidden="1">
      <c r="A740" s="155" t="s">
        <v>828</v>
      </c>
      <c r="B740" s="156" t="s">
        <v>591</v>
      </c>
      <c r="C740" s="411" t="s">
        <v>861</v>
      </c>
      <c r="D740" s="351"/>
      <c r="E740" s="405"/>
      <c r="F740" s="406"/>
      <c r="G740" s="158"/>
      <c r="H740" s="465">
        <v>202.14</v>
      </c>
      <c r="I740" s="465">
        <f t="shared" si="210"/>
        <v>202.14</v>
      </c>
      <c r="J740" s="407">
        <f t="shared" si="213"/>
        <v>256.31</v>
      </c>
      <c r="K740" s="408" t="s">
        <v>203</v>
      </c>
      <c r="L740" s="152">
        <v>0</v>
      </c>
      <c r="M740" s="152"/>
      <c r="N740" s="402">
        <f t="shared" si="214"/>
        <v>0</v>
      </c>
      <c r="O740" s="402">
        <f t="shared" si="215"/>
        <v>0</v>
      </c>
      <c r="P740" s="403"/>
      <c r="Q740" s="152">
        <f t="shared" si="218"/>
        <v>0</v>
      </c>
      <c r="R740" s="152">
        <f t="shared" si="218"/>
        <v>0</v>
      </c>
      <c r="S740" s="402">
        <f t="shared" si="216"/>
        <v>0</v>
      </c>
      <c r="T740" s="404">
        <f t="shared" si="217"/>
        <v>0</v>
      </c>
      <c r="U740" s="403"/>
      <c r="W740" s="43" t="str">
        <f t="shared" si="208"/>
        <v/>
      </c>
      <c r="X740" s="43" t="str">
        <f t="shared" si="212"/>
        <v/>
      </c>
      <c r="Y740" s="43" t="str">
        <f t="shared" si="195"/>
        <v/>
      </c>
    </row>
    <row r="741" spans="1:25" hidden="1">
      <c r="A741" s="155">
        <v>794</v>
      </c>
      <c r="B741" s="156" t="s">
        <v>591</v>
      </c>
      <c r="C741" s="411" t="s">
        <v>789</v>
      </c>
      <c r="D741" s="351"/>
      <c r="E741" s="405"/>
      <c r="F741" s="406"/>
      <c r="G741" s="158"/>
      <c r="H741" s="465">
        <v>516.32000000000005</v>
      </c>
      <c r="I741" s="465">
        <f t="shared" si="210"/>
        <v>516.32000000000005</v>
      </c>
      <c r="J741" s="407">
        <f t="shared" si="213"/>
        <v>654.69000000000005</v>
      </c>
      <c r="K741" s="408" t="s">
        <v>203</v>
      </c>
      <c r="L741" s="152">
        <v>0</v>
      </c>
      <c r="M741" s="152"/>
      <c r="N741" s="402">
        <f t="shared" si="214"/>
        <v>0</v>
      </c>
      <c r="O741" s="402">
        <f t="shared" si="215"/>
        <v>0</v>
      </c>
      <c r="P741" s="403"/>
      <c r="Q741" s="152">
        <f t="shared" si="218"/>
        <v>0</v>
      </c>
      <c r="R741" s="152">
        <f t="shared" si="218"/>
        <v>0</v>
      </c>
      <c r="S741" s="402">
        <f t="shared" si="216"/>
        <v>0</v>
      </c>
      <c r="T741" s="404">
        <f t="shared" si="217"/>
        <v>0</v>
      </c>
      <c r="U741" s="403"/>
      <c r="W741" s="43" t="str">
        <f t="shared" si="208"/>
        <v/>
      </c>
      <c r="X741" s="43" t="str">
        <f t="shared" si="212"/>
        <v/>
      </c>
      <c r="Y741" s="43" t="str">
        <f t="shared" si="195"/>
        <v/>
      </c>
    </row>
    <row r="742" spans="1:25" hidden="1">
      <c r="A742" s="155" t="s">
        <v>780</v>
      </c>
      <c r="B742" s="156" t="s">
        <v>591</v>
      </c>
      <c r="C742" s="411" t="s">
        <v>790</v>
      </c>
      <c r="D742" s="351"/>
      <c r="E742" s="405"/>
      <c r="F742" s="406"/>
      <c r="G742" s="158"/>
      <c r="H742" s="465">
        <v>206.6</v>
      </c>
      <c r="I742" s="465">
        <f t="shared" si="210"/>
        <v>206.6</v>
      </c>
      <c r="J742" s="407">
        <f t="shared" si="213"/>
        <v>261.97000000000003</v>
      </c>
      <c r="K742" s="408" t="s">
        <v>203</v>
      </c>
      <c r="L742" s="152">
        <v>0</v>
      </c>
      <c r="M742" s="152"/>
      <c r="N742" s="402">
        <f t="shared" si="214"/>
        <v>0</v>
      </c>
      <c r="O742" s="402">
        <f t="shared" si="215"/>
        <v>0</v>
      </c>
      <c r="P742" s="403"/>
      <c r="Q742" s="152">
        <f t="shared" si="218"/>
        <v>0</v>
      </c>
      <c r="R742" s="152">
        <f t="shared" si="218"/>
        <v>0</v>
      </c>
      <c r="S742" s="402">
        <f t="shared" si="216"/>
        <v>0</v>
      </c>
      <c r="T742" s="404">
        <f t="shared" si="217"/>
        <v>0</v>
      </c>
      <c r="U742" s="403"/>
      <c r="W742" s="43" t="str">
        <f t="shared" si="208"/>
        <v/>
      </c>
      <c r="X742" s="43" t="str">
        <f t="shared" si="212"/>
        <v/>
      </c>
      <c r="Y742" s="43" t="str">
        <f t="shared" si="195"/>
        <v/>
      </c>
    </row>
    <row r="743" spans="1:25" hidden="1">
      <c r="A743" s="155">
        <v>795</v>
      </c>
      <c r="B743" s="156" t="s">
        <v>591</v>
      </c>
      <c r="C743" s="411" t="s">
        <v>791</v>
      </c>
      <c r="D743" s="351"/>
      <c r="E743" s="405"/>
      <c r="F743" s="406"/>
      <c r="G743" s="158"/>
      <c r="H743" s="465">
        <v>1527.72</v>
      </c>
      <c r="I743" s="465">
        <f t="shared" si="210"/>
        <v>1527.72</v>
      </c>
      <c r="J743" s="407">
        <f t="shared" si="213"/>
        <v>1937.15</v>
      </c>
      <c r="K743" s="408" t="s">
        <v>203</v>
      </c>
      <c r="L743" s="152">
        <v>0</v>
      </c>
      <c r="M743" s="152"/>
      <c r="N743" s="402">
        <f t="shared" si="214"/>
        <v>0</v>
      </c>
      <c r="O743" s="402">
        <f t="shared" si="215"/>
        <v>0</v>
      </c>
      <c r="P743" s="403"/>
      <c r="Q743" s="152">
        <f t="shared" ref="Q743:R761" si="219">L743</f>
        <v>0</v>
      </c>
      <c r="R743" s="152">
        <f t="shared" si="219"/>
        <v>0</v>
      </c>
      <c r="S743" s="402">
        <f t="shared" si="216"/>
        <v>0</v>
      </c>
      <c r="T743" s="404">
        <f t="shared" si="217"/>
        <v>0</v>
      </c>
      <c r="U743" s="403"/>
      <c r="W743" s="43" t="str">
        <f t="shared" si="208"/>
        <v/>
      </c>
      <c r="X743" s="43" t="str">
        <f t="shared" si="212"/>
        <v/>
      </c>
      <c r="Y743" s="43" t="str">
        <f t="shared" si="195"/>
        <v/>
      </c>
    </row>
    <row r="744" spans="1:25" hidden="1">
      <c r="A744" s="155" t="s">
        <v>781</v>
      </c>
      <c r="B744" s="156" t="s">
        <v>591</v>
      </c>
      <c r="C744" s="411" t="s">
        <v>792</v>
      </c>
      <c r="D744" s="351"/>
      <c r="E744" s="405"/>
      <c r="F744" s="406"/>
      <c r="G744" s="158"/>
      <c r="H744" s="465">
        <v>611.23</v>
      </c>
      <c r="I744" s="465">
        <f t="shared" si="210"/>
        <v>611.23</v>
      </c>
      <c r="J744" s="407">
        <f t="shared" si="213"/>
        <v>775.04</v>
      </c>
      <c r="K744" s="408" t="s">
        <v>203</v>
      </c>
      <c r="L744" s="152">
        <v>0</v>
      </c>
      <c r="M744" s="152"/>
      <c r="N744" s="402">
        <f t="shared" si="214"/>
        <v>0</v>
      </c>
      <c r="O744" s="402">
        <f t="shared" si="215"/>
        <v>0</v>
      </c>
      <c r="P744" s="403"/>
      <c r="Q744" s="152">
        <f t="shared" si="219"/>
        <v>0</v>
      </c>
      <c r="R744" s="152">
        <f t="shared" si="219"/>
        <v>0</v>
      </c>
      <c r="S744" s="402">
        <f t="shared" si="216"/>
        <v>0</v>
      </c>
      <c r="T744" s="404">
        <f t="shared" si="217"/>
        <v>0</v>
      </c>
      <c r="U744" s="403"/>
      <c r="W744" s="43" t="str">
        <f t="shared" si="208"/>
        <v/>
      </c>
      <c r="X744" s="43" t="str">
        <f t="shared" si="212"/>
        <v/>
      </c>
      <c r="Y744" s="43" t="str">
        <f t="shared" si="195"/>
        <v/>
      </c>
    </row>
    <row r="745" spans="1:25" hidden="1">
      <c r="A745" s="155">
        <v>796</v>
      </c>
      <c r="B745" s="156" t="s">
        <v>591</v>
      </c>
      <c r="C745" s="411" t="s">
        <v>793</v>
      </c>
      <c r="D745" s="351"/>
      <c r="E745" s="405"/>
      <c r="F745" s="406"/>
      <c r="G745" s="158"/>
      <c r="H745" s="465">
        <v>8.57</v>
      </c>
      <c r="I745" s="465">
        <f t="shared" si="210"/>
        <v>8.57</v>
      </c>
      <c r="J745" s="407">
        <f t="shared" si="213"/>
        <v>10.87</v>
      </c>
      <c r="K745" s="408" t="s">
        <v>20</v>
      </c>
      <c r="L745" s="152">
        <v>0</v>
      </c>
      <c r="M745" s="152"/>
      <c r="N745" s="402">
        <f t="shared" si="214"/>
        <v>0</v>
      </c>
      <c r="O745" s="402">
        <f t="shared" si="215"/>
        <v>0</v>
      </c>
      <c r="P745" s="403"/>
      <c r="Q745" s="152">
        <f t="shared" si="219"/>
        <v>0</v>
      </c>
      <c r="R745" s="152">
        <f t="shared" si="219"/>
        <v>0</v>
      </c>
      <c r="S745" s="402">
        <f t="shared" si="216"/>
        <v>0</v>
      </c>
      <c r="T745" s="404">
        <f t="shared" si="217"/>
        <v>0</v>
      </c>
      <c r="U745" s="403"/>
      <c r="W745" s="43" t="str">
        <f t="shared" si="208"/>
        <v/>
      </c>
      <c r="X745" s="43" t="str">
        <f t="shared" si="212"/>
        <v/>
      </c>
      <c r="Y745" s="43" t="str">
        <f t="shared" si="195"/>
        <v/>
      </c>
    </row>
    <row r="746" spans="1:25" hidden="1">
      <c r="A746" s="155" t="s">
        <v>783</v>
      </c>
      <c r="B746" s="156" t="s">
        <v>591</v>
      </c>
      <c r="C746" s="411" t="s">
        <v>794</v>
      </c>
      <c r="D746" s="351"/>
      <c r="E746" s="405"/>
      <c r="F746" s="406"/>
      <c r="G746" s="158"/>
      <c r="H746" s="465">
        <v>3.43</v>
      </c>
      <c r="I746" s="465">
        <f t="shared" si="210"/>
        <v>3.43</v>
      </c>
      <c r="J746" s="407">
        <f t="shared" si="213"/>
        <v>4.3499999999999996</v>
      </c>
      <c r="K746" s="408" t="s">
        <v>20</v>
      </c>
      <c r="L746" s="152">
        <v>0</v>
      </c>
      <c r="M746" s="152"/>
      <c r="N746" s="402">
        <f t="shared" si="214"/>
        <v>0</v>
      </c>
      <c r="O746" s="402">
        <f t="shared" si="215"/>
        <v>0</v>
      </c>
      <c r="P746" s="403"/>
      <c r="Q746" s="152">
        <f t="shared" si="219"/>
        <v>0</v>
      </c>
      <c r="R746" s="152">
        <f t="shared" si="219"/>
        <v>0</v>
      </c>
      <c r="S746" s="402">
        <f t="shared" si="216"/>
        <v>0</v>
      </c>
      <c r="T746" s="404">
        <f t="shared" si="217"/>
        <v>0</v>
      </c>
      <c r="U746" s="403"/>
      <c r="W746" s="43" t="str">
        <f t="shared" si="208"/>
        <v/>
      </c>
      <c r="X746" s="43" t="str">
        <f t="shared" si="212"/>
        <v/>
      </c>
      <c r="Y746" s="43" t="str">
        <f t="shared" si="195"/>
        <v/>
      </c>
    </row>
    <row r="747" spans="1:25" hidden="1">
      <c r="A747" s="155">
        <v>867</v>
      </c>
      <c r="B747" s="156" t="s">
        <v>591</v>
      </c>
      <c r="C747" s="411" t="s">
        <v>796</v>
      </c>
      <c r="D747" s="351"/>
      <c r="E747" s="405"/>
      <c r="F747" s="406"/>
      <c r="G747" s="158"/>
      <c r="H747" s="465">
        <v>11.99</v>
      </c>
      <c r="I747" s="465">
        <f t="shared" si="210"/>
        <v>11.99</v>
      </c>
      <c r="J747" s="407">
        <f t="shared" si="213"/>
        <v>15.2</v>
      </c>
      <c r="K747" s="408" t="s">
        <v>23</v>
      </c>
      <c r="L747" s="152">
        <v>0</v>
      </c>
      <c r="M747" s="152"/>
      <c r="N747" s="402">
        <f t="shared" si="214"/>
        <v>0</v>
      </c>
      <c r="O747" s="402">
        <f t="shared" si="215"/>
        <v>0</v>
      </c>
      <c r="P747" s="403"/>
      <c r="Q747" s="152">
        <f t="shared" si="219"/>
        <v>0</v>
      </c>
      <c r="R747" s="152">
        <f t="shared" si="219"/>
        <v>0</v>
      </c>
      <c r="S747" s="402">
        <f t="shared" si="216"/>
        <v>0</v>
      </c>
      <c r="T747" s="404">
        <f t="shared" si="217"/>
        <v>0</v>
      </c>
      <c r="U747" s="403"/>
      <c r="W747" s="43" t="str">
        <f t="shared" si="208"/>
        <v/>
      </c>
      <c r="X747" s="43" t="str">
        <f t="shared" si="212"/>
        <v/>
      </c>
      <c r="Y747" s="43" t="str">
        <f t="shared" si="195"/>
        <v/>
      </c>
    </row>
    <row r="748" spans="1:25" hidden="1">
      <c r="A748" s="155" t="s">
        <v>784</v>
      </c>
      <c r="B748" s="156" t="s">
        <v>591</v>
      </c>
      <c r="C748" s="411" t="s">
        <v>795</v>
      </c>
      <c r="D748" s="351"/>
      <c r="E748" s="405"/>
      <c r="F748" s="406"/>
      <c r="G748" s="158"/>
      <c r="H748" s="465">
        <v>4.8</v>
      </c>
      <c r="I748" s="465">
        <f t="shared" si="210"/>
        <v>4.8</v>
      </c>
      <c r="J748" s="407">
        <f t="shared" si="213"/>
        <v>6.09</v>
      </c>
      <c r="K748" s="408" t="s">
        <v>23</v>
      </c>
      <c r="L748" s="152">
        <v>0</v>
      </c>
      <c r="M748" s="152"/>
      <c r="N748" s="402">
        <f t="shared" si="214"/>
        <v>0</v>
      </c>
      <c r="O748" s="402">
        <f t="shared" si="215"/>
        <v>0</v>
      </c>
      <c r="P748" s="403"/>
      <c r="Q748" s="152">
        <f t="shared" si="219"/>
        <v>0</v>
      </c>
      <c r="R748" s="152">
        <f t="shared" si="219"/>
        <v>0</v>
      </c>
      <c r="S748" s="402">
        <f t="shared" si="216"/>
        <v>0</v>
      </c>
      <c r="T748" s="404">
        <f t="shared" si="217"/>
        <v>0</v>
      </c>
      <c r="U748" s="403"/>
      <c r="W748" s="43" t="str">
        <f t="shared" si="208"/>
        <v/>
      </c>
      <c r="X748" s="43" t="str">
        <f t="shared" si="212"/>
        <v/>
      </c>
      <c r="Y748" s="43" t="str">
        <f t="shared" si="195"/>
        <v/>
      </c>
    </row>
    <row r="749" spans="1:25" hidden="1">
      <c r="A749" s="155">
        <v>801</v>
      </c>
      <c r="B749" s="156" t="s">
        <v>591</v>
      </c>
      <c r="C749" s="411" t="s">
        <v>825</v>
      </c>
      <c r="D749" s="351"/>
      <c r="E749" s="405"/>
      <c r="F749" s="406"/>
      <c r="G749" s="158"/>
      <c r="H749" s="465">
        <v>12.68</v>
      </c>
      <c r="I749" s="465">
        <f t="shared" si="210"/>
        <v>12.68</v>
      </c>
      <c r="J749" s="407">
        <f t="shared" si="213"/>
        <v>16.079999999999998</v>
      </c>
      <c r="K749" s="408" t="s">
        <v>23</v>
      </c>
      <c r="L749" s="152">
        <v>0</v>
      </c>
      <c r="M749" s="152"/>
      <c r="N749" s="402">
        <f t="shared" si="214"/>
        <v>0</v>
      </c>
      <c r="O749" s="402">
        <f t="shared" si="215"/>
        <v>0</v>
      </c>
      <c r="P749" s="403"/>
      <c r="Q749" s="152">
        <f t="shared" si="219"/>
        <v>0</v>
      </c>
      <c r="R749" s="152">
        <f t="shared" si="219"/>
        <v>0</v>
      </c>
      <c r="S749" s="402">
        <f t="shared" si="216"/>
        <v>0</v>
      </c>
      <c r="T749" s="404">
        <f t="shared" si="217"/>
        <v>0</v>
      </c>
      <c r="U749" s="403"/>
      <c r="W749" s="43" t="str">
        <f t="shared" si="208"/>
        <v/>
      </c>
      <c r="X749" s="43" t="str">
        <f t="shared" si="212"/>
        <v/>
      </c>
      <c r="Y749" s="43" t="str">
        <f t="shared" si="195"/>
        <v/>
      </c>
    </row>
    <row r="750" spans="1:25" ht="25.5" hidden="1">
      <c r="A750" s="155">
        <v>813</v>
      </c>
      <c r="B750" s="156" t="s">
        <v>591</v>
      </c>
      <c r="C750" s="411" t="s">
        <v>799</v>
      </c>
      <c r="D750" s="351"/>
      <c r="E750" s="405"/>
      <c r="F750" s="406"/>
      <c r="G750" s="158"/>
      <c r="H750" s="465">
        <v>26.72</v>
      </c>
      <c r="I750" s="465">
        <f t="shared" si="210"/>
        <v>26.72</v>
      </c>
      <c r="J750" s="407">
        <f t="shared" si="213"/>
        <v>33.880000000000003</v>
      </c>
      <c r="K750" s="408" t="s">
        <v>23</v>
      </c>
      <c r="L750" s="152">
        <v>0</v>
      </c>
      <c r="M750" s="152"/>
      <c r="N750" s="402">
        <f t="shared" si="214"/>
        <v>0</v>
      </c>
      <c r="O750" s="402">
        <f t="shared" si="215"/>
        <v>0</v>
      </c>
      <c r="P750" s="403"/>
      <c r="Q750" s="152">
        <f t="shared" si="219"/>
        <v>0</v>
      </c>
      <c r="R750" s="152">
        <f t="shared" si="219"/>
        <v>0</v>
      </c>
      <c r="S750" s="402">
        <f t="shared" si="216"/>
        <v>0</v>
      </c>
      <c r="T750" s="404">
        <f t="shared" si="217"/>
        <v>0</v>
      </c>
      <c r="U750" s="403"/>
      <c r="W750" s="43" t="str">
        <f t="shared" si="208"/>
        <v/>
      </c>
      <c r="X750" s="43" t="str">
        <f t="shared" si="212"/>
        <v/>
      </c>
      <c r="Y750" s="43" t="str">
        <f t="shared" si="195"/>
        <v/>
      </c>
    </row>
    <row r="751" spans="1:25" ht="25.5" hidden="1">
      <c r="A751" s="155" t="s">
        <v>797</v>
      </c>
      <c r="B751" s="156" t="s">
        <v>591</v>
      </c>
      <c r="C751" s="411" t="s">
        <v>800</v>
      </c>
      <c r="D751" s="351"/>
      <c r="E751" s="405"/>
      <c r="F751" s="406"/>
      <c r="G751" s="158"/>
      <c r="H751" s="465">
        <v>10.62</v>
      </c>
      <c r="I751" s="465">
        <f t="shared" si="210"/>
        <v>10.62</v>
      </c>
      <c r="J751" s="407">
        <f t="shared" si="213"/>
        <v>13.47</v>
      </c>
      <c r="K751" s="408" t="s">
        <v>23</v>
      </c>
      <c r="L751" s="152">
        <v>0</v>
      </c>
      <c r="M751" s="152"/>
      <c r="N751" s="402">
        <f t="shared" si="214"/>
        <v>0</v>
      </c>
      <c r="O751" s="402">
        <f t="shared" si="215"/>
        <v>0</v>
      </c>
      <c r="P751" s="403"/>
      <c r="Q751" s="152">
        <f t="shared" si="219"/>
        <v>0</v>
      </c>
      <c r="R751" s="152">
        <f t="shared" si="219"/>
        <v>0</v>
      </c>
      <c r="S751" s="402">
        <f t="shared" si="216"/>
        <v>0</v>
      </c>
      <c r="T751" s="404">
        <f t="shared" si="217"/>
        <v>0</v>
      </c>
      <c r="U751" s="403"/>
      <c r="W751" s="43" t="str">
        <f t="shared" ref="W751:W814" si="220">IF(V751="X","x",IF(V751="xx","x",IF(V751="xy","x",IF(V751="y","x",IF(OR(O751&gt;0,T751&gt;0),"x","")))))</f>
        <v/>
      </c>
      <c r="X751" s="43" t="str">
        <f t="shared" si="212"/>
        <v/>
      </c>
      <c r="Y751" s="43" t="str">
        <f t="shared" si="195"/>
        <v/>
      </c>
    </row>
    <row r="752" spans="1:25" hidden="1">
      <c r="A752" s="155">
        <v>811</v>
      </c>
      <c r="B752" s="156" t="s">
        <v>591</v>
      </c>
      <c r="C752" s="411" t="s">
        <v>802</v>
      </c>
      <c r="D752" s="351"/>
      <c r="E752" s="405"/>
      <c r="F752" s="406"/>
      <c r="G752" s="158"/>
      <c r="H752" s="465">
        <v>13.02</v>
      </c>
      <c r="I752" s="465">
        <f t="shared" ref="I752:I775" si="221">IF(ISBLANK(H752),"",SUM(G752:H752))</f>
        <v>13.02</v>
      </c>
      <c r="J752" s="407">
        <f t="shared" si="213"/>
        <v>16.510000000000002</v>
      </c>
      <c r="K752" s="408" t="s">
        <v>23</v>
      </c>
      <c r="L752" s="152">
        <v>0</v>
      </c>
      <c r="M752" s="152"/>
      <c r="N752" s="402">
        <f t="shared" si="214"/>
        <v>0</v>
      </c>
      <c r="O752" s="402">
        <f t="shared" si="215"/>
        <v>0</v>
      </c>
      <c r="P752" s="403"/>
      <c r="Q752" s="152">
        <f t="shared" si="219"/>
        <v>0</v>
      </c>
      <c r="R752" s="152">
        <f t="shared" si="219"/>
        <v>0</v>
      </c>
      <c r="S752" s="402">
        <f t="shared" si="216"/>
        <v>0</v>
      </c>
      <c r="T752" s="404">
        <f t="shared" si="217"/>
        <v>0</v>
      </c>
      <c r="U752" s="403"/>
      <c r="W752" s="43" t="str">
        <f t="shared" si="220"/>
        <v/>
      </c>
      <c r="X752" s="43" t="str">
        <f t="shared" si="212"/>
        <v/>
      </c>
      <c r="Y752" s="43" t="str">
        <f t="shared" si="195"/>
        <v/>
      </c>
    </row>
    <row r="753" spans="1:25" hidden="1">
      <c r="A753" s="155">
        <v>814</v>
      </c>
      <c r="B753" s="156" t="s">
        <v>591</v>
      </c>
      <c r="C753" s="411" t="s">
        <v>801</v>
      </c>
      <c r="D753" s="351"/>
      <c r="E753" s="405"/>
      <c r="F753" s="406"/>
      <c r="G753" s="158"/>
      <c r="H753" s="465">
        <v>34.6</v>
      </c>
      <c r="I753" s="465">
        <f t="shared" si="221"/>
        <v>34.6</v>
      </c>
      <c r="J753" s="407">
        <f t="shared" si="213"/>
        <v>43.87</v>
      </c>
      <c r="K753" s="408" t="s">
        <v>23</v>
      </c>
      <c r="L753" s="152">
        <v>0</v>
      </c>
      <c r="M753" s="152"/>
      <c r="N753" s="402">
        <f t="shared" si="214"/>
        <v>0</v>
      </c>
      <c r="O753" s="402">
        <f t="shared" si="215"/>
        <v>0</v>
      </c>
      <c r="P753" s="403"/>
      <c r="Q753" s="152">
        <f t="shared" si="219"/>
        <v>0</v>
      </c>
      <c r="R753" s="152">
        <f t="shared" si="219"/>
        <v>0</v>
      </c>
      <c r="S753" s="402">
        <f t="shared" si="216"/>
        <v>0</v>
      </c>
      <c r="T753" s="404">
        <f t="shared" si="217"/>
        <v>0</v>
      </c>
      <c r="U753" s="403"/>
      <c r="W753" s="43" t="str">
        <f t="shared" si="220"/>
        <v/>
      </c>
      <c r="X753" s="43" t="str">
        <f t="shared" si="212"/>
        <v/>
      </c>
      <c r="Y753" s="43" t="str">
        <f t="shared" si="195"/>
        <v/>
      </c>
    </row>
    <row r="754" spans="1:25" hidden="1">
      <c r="A754" s="155">
        <v>815</v>
      </c>
      <c r="B754" s="156" t="s">
        <v>591</v>
      </c>
      <c r="C754" s="411" t="s">
        <v>803</v>
      </c>
      <c r="D754" s="351"/>
      <c r="E754" s="405"/>
      <c r="F754" s="406"/>
      <c r="G754" s="158"/>
      <c r="H754" s="465">
        <v>60.64</v>
      </c>
      <c r="I754" s="465">
        <f t="shared" si="221"/>
        <v>60.64</v>
      </c>
      <c r="J754" s="407">
        <f t="shared" si="213"/>
        <v>76.89</v>
      </c>
      <c r="K754" s="408" t="s">
        <v>23</v>
      </c>
      <c r="L754" s="152">
        <v>0</v>
      </c>
      <c r="M754" s="152"/>
      <c r="N754" s="402">
        <f t="shared" si="214"/>
        <v>0</v>
      </c>
      <c r="O754" s="402">
        <f t="shared" si="215"/>
        <v>0</v>
      </c>
      <c r="P754" s="403"/>
      <c r="Q754" s="152">
        <f t="shared" si="219"/>
        <v>0</v>
      </c>
      <c r="R754" s="152">
        <f t="shared" si="219"/>
        <v>0</v>
      </c>
      <c r="S754" s="402">
        <f t="shared" si="216"/>
        <v>0</v>
      </c>
      <c r="T754" s="404">
        <f t="shared" si="217"/>
        <v>0</v>
      </c>
      <c r="U754" s="403"/>
      <c r="W754" s="43" t="str">
        <f t="shared" si="220"/>
        <v/>
      </c>
      <c r="X754" s="43" t="str">
        <f t="shared" si="212"/>
        <v/>
      </c>
      <c r="Y754" s="43" t="str">
        <f t="shared" si="195"/>
        <v/>
      </c>
    </row>
    <row r="755" spans="1:25" hidden="1">
      <c r="A755" s="155">
        <v>816</v>
      </c>
      <c r="B755" s="156" t="s">
        <v>591</v>
      </c>
      <c r="C755" s="411" t="s">
        <v>804</v>
      </c>
      <c r="D755" s="351"/>
      <c r="E755" s="405"/>
      <c r="F755" s="406"/>
      <c r="G755" s="158"/>
      <c r="H755" s="465">
        <v>28.78</v>
      </c>
      <c r="I755" s="465">
        <f t="shared" si="221"/>
        <v>28.78</v>
      </c>
      <c r="J755" s="407">
        <f t="shared" si="213"/>
        <v>36.49</v>
      </c>
      <c r="K755" s="408" t="s">
        <v>23</v>
      </c>
      <c r="L755" s="152">
        <v>0</v>
      </c>
      <c r="M755" s="152"/>
      <c r="N755" s="402">
        <f t="shared" si="214"/>
        <v>0</v>
      </c>
      <c r="O755" s="402">
        <f t="shared" si="215"/>
        <v>0</v>
      </c>
      <c r="P755" s="403"/>
      <c r="Q755" s="152">
        <f t="shared" si="219"/>
        <v>0</v>
      </c>
      <c r="R755" s="152">
        <f t="shared" si="219"/>
        <v>0</v>
      </c>
      <c r="S755" s="402">
        <f t="shared" si="216"/>
        <v>0</v>
      </c>
      <c r="T755" s="404">
        <f t="shared" si="217"/>
        <v>0</v>
      </c>
      <c r="U755" s="403"/>
      <c r="W755" s="43" t="str">
        <f t="shared" si="220"/>
        <v/>
      </c>
      <c r="X755" s="43" t="str">
        <f t="shared" si="212"/>
        <v/>
      </c>
      <c r="Y755" s="43" t="str">
        <f t="shared" si="195"/>
        <v/>
      </c>
    </row>
    <row r="756" spans="1:25" hidden="1">
      <c r="A756" s="155">
        <v>817</v>
      </c>
      <c r="B756" s="156" t="s">
        <v>591</v>
      </c>
      <c r="C756" s="411" t="s">
        <v>805</v>
      </c>
      <c r="D756" s="351"/>
      <c r="E756" s="405"/>
      <c r="F756" s="406"/>
      <c r="G756" s="158"/>
      <c r="H756" s="465">
        <v>41.46</v>
      </c>
      <c r="I756" s="465">
        <f t="shared" si="221"/>
        <v>41.46</v>
      </c>
      <c r="J756" s="407">
        <f t="shared" si="213"/>
        <v>52.57</v>
      </c>
      <c r="K756" s="408" t="s">
        <v>23</v>
      </c>
      <c r="L756" s="152">
        <v>0</v>
      </c>
      <c r="M756" s="152"/>
      <c r="N756" s="402">
        <f t="shared" si="214"/>
        <v>0</v>
      </c>
      <c r="O756" s="402">
        <f t="shared" si="215"/>
        <v>0</v>
      </c>
      <c r="P756" s="403"/>
      <c r="Q756" s="152">
        <f t="shared" si="219"/>
        <v>0</v>
      </c>
      <c r="R756" s="152">
        <f t="shared" si="219"/>
        <v>0</v>
      </c>
      <c r="S756" s="402">
        <f t="shared" si="216"/>
        <v>0</v>
      </c>
      <c r="T756" s="404">
        <f t="shared" si="217"/>
        <v>0</v>
      </c>
      <c r="U756" s="403"/>
      <c r="W756" s="43" t="str">
        <f t="shared" si="220"/>
        <v/>
      </c>
      <c r="X756" s="43" t="str">
        <f t="shared" si="212"/>
        <v/>
      </c>
      <c r="Y756" s="43" t="str">
        <f t="shared" si="195"/>
        <v/>
      </c>
    </row>
    <row r="757" spans="1:25" hidden="1">
      <c r="A757" s="155">
        <v>818</v>
      </c>
      <c r="B757" s="156" t="s">
        <v>591</v>
      </c>
      <c r="C757" s="411" t="s">
        <v>806</v>
      </c>
      <c r="D757" s="351"/>
      <c r="E757" s="405"/>
      <c r="F757" s="406"/>
      <c r="G757" s="158"/>
      <c r="H757" s="465">
        <v>15.42</v>
      </c>
      <c r="I757" s="465">
        <f t="shared" si="221"/>
        <v>15.42</v>
      </c>
      <c r="J757" s="407">
        <f t="shared" si="213"/>
        <v>19.55</v>
      </c>
      <c r="K757" s="408" t="s">
        <v>23</v>
      </c>
      <c r="L757" s="152">
        <v>0</v>
      </c>
      <c r="M757" s="152"/>
      <c r="N757" s="402">
        <f t="shared" si="214"/>
        <v>0</v>
      </c>
      <c r="O757" s="402">
        <f t="shared" si="215"/>
        <v>0</v>
      </c>
      <c r="P757" s="403"/>
      <c r="Q757" s="152">
        <f t="shared" si="219"/>
        <v>0</v>
      </c>
      <c r="R757" s="152">
        <f t="shared" si="219"/>
        <v>0</v>
      </c>
      <c r="S757" s="402">
        <f t="shared" si="216"/>
        <v>0</v>
      </c>
      <c r="T757" s="404">
        <f t="shared" si="217"/>
        <v>0</v>
      </c>
      <c r="U757" s="403"/>
      <c r="W757" s="43" t="str">
        <f t="shared" si="220"/>
        <v/>
      </c>
      <c r="X757" s="43" t="str">
        <f t="shared" si="212"/>
        <v/>
      </c>
      <c r="Y757" s="43" t="str">
        <f t="shared" si="195"/>
        <v/>
      </c>
    </row>
    <row r="758" spans="1:25" hidden="1">
      <c r="A758" s="155">
        <v>819</v>
      </c>
      <c r="B758" s="156" t="s">
        <v>591</v>
      </c>
      <c r="C758" s="411" t="s">
        <v>807</v>
      </c>
      <c r="D758" s="351"/>
      <c r="E758" s="405"/>
      <c r="F758" s="406"/>
      <c r="G758" s="158"/>
      <c r="H758" s="465">
        <v>23.3</v>
      </c>
      <c r="I758" s="465">
        <f t="shared" si="221"/>
        <v>23.3</v>
      </c>
      <c r="J758" s="407">
        <f t="shared" si="213"/>
        <v>29.54</v>
      </c>
      <c r="K758" s="408" t="s">
        <v>20</v>
      </c>
      <c r="L758" s="152">
        <v>0</v>
      </c>
      <c r="M758" s="152"/>
      <c r="N758" s="402">
        <f t="shared" si="214"/>
        <v>0</v>
      </c>
      <c r="O758" s="402">
        <f t="shared" si="215"/>
        <v>0</v>
      </c>
      <c r="P758" s="403"/>
      <c r="Q758" s="152">
        <f t="shared" si="219"/>
        <v>0</v>
      </c>
      <c r="R758" s="152">
        <f t="shared" si="219"/>
        <v>0</v>
      </c>
      <c r="S758" s="402">
        <f t="shared" si="216"/>
        <v>0</v>
      </c>
      <c r="T758" s="404">
        <f t="shared" si="217"/>
        <v>0</v>
      </c>
      <c r="U758" s="403"/>
      <c r="W758" s="43" t="str">
        <f t="shared" si="220"/>
        <v/>
      </c>
      <c r="X758" s="43" t="str">
        <f t="shared" si="212"/>
        <v/>
      </c>
      <c r="Y758" s="43" t="str">
        <f t="shared" si="195"/>
        <v/>
      </c>
    </row>
    <row r="759" spans="1:25" hidden="1">
      <c r="A759" s="155">
        <v>820</v>
      </c>
      <c r="B759" s="156" t="s">
        <v>591</v>
      </c>
      <c r="C759" s="411" t="s">
        <v>808</v>
      </c>
      <c r="D759" s="351"/>
      <c r="E759" s="405"/>
      <c r="F759" s="406"/>
      <c r="G759" s="158"/>
      <c r="H759" s="465">
        <v>14.08</v>
      </c>
      <c r="I759" s="465">
        <f t="shared" si="221"/>
        <v>14.08</v>
      </c>
      <c r="J759" s="407">
        <f t="shared" si="213"/>
        <v>17.850000000000001</v>
      </c>
      <c r="K759" s="408" t="s">
        <v>23</v>
      </c>
      <c r="L759" s="152">
        <v>0</v>
      </c>
      <c r="M759" s="152"/>
      <c r="N759" s="402">
        <f t="shared" si="214"/>
        <v>0</v>
      </c>
      <c r="O759" s="402">
        <f t="shared" si="215"/>
        <v>0</v>
      </c>
      <c r="P759" s="403"/>
      <c r="Q759" s="152">
        <f t="shared" si="219"/>
        <v>0</v>
      </c>
      <c r="R759" s="152">
        <f t="shared" si="219"/>
        <v>0</v>
      </c>
      <c r="S759" s="402">
        <f t="shared" si="216"/>
        <v>0</v>
      </c>
      <c r="T759" s="404">
        <f t="shared" si="217"/>
        <v>0</v>
      </c>
      <c r="U759" s="403"/>
      <c r="W759" s="43" t="str">
        <f t="shared" si="220"/>
        <v/>
      </c>
      <c r="X759" s="43" t="str">
        <f t="shared" si="212"/>
        <v/>
      </c>
      <c r="Y759" s="43" t="str">
        <f t="shared" si="195"/>
        <v/>
      </c>
    </row>
    <row r="760" spans="1:25" hidden="1">
      <c r="A760" s="155">
        <v>821</v>
      </c>
      <c r="B760" s="156" t="s">
        <v>591</v>
      </c>
      <c r="C760" s="411" t="s">
        <v>809</v>
      </c>
      <c r="D760" s="351"/>
      <c r="E760" s="405"/>
      <c r="F760" s="406"/>
      <c r="G760" s="158"/>
      <c r="H760" s="465">
        <v>22.96</v>
      </c>
      <c r="I760" s="465">
        <f t="shared" si="221"/>
        <v>22.96</v>
      </c>
      <c r="J760" s="407">
        <f t="shared" si="213"/>
        <v>29.11</v>
      </c>
      <c r="K760" s="408" t="s">
        <v>23</v>
      </c>
      <c r="L760" s="152">
        <v>0</v>
      </c>
      <c r="M760" s="152"/>
      <c r="N760" s="402">
        <f t="shared" si="214"/>
        <v>0</v>
      </c>
      <c r="O760" s="402">
        <f t="shared" si="215"/>
        <v>0</v>
      </c>
      <c r="P760" s="403"/>
      <c r="Q760" s="152">
        <f t="shared" si="219"/>
        <v>0</v>
      </c>
      <c r="R760" s="152">
        <f t="shared" si="219"/>
        <v>0</v>
      </c>
      <c r="S760" s="402">
        <f t="shared" si="216"/>
        <v>0</v>
      </c>
      <c r="T760" s="404">
        <f t="shared" si="217"/>
        <v>0</v>
      </c>
      <c r="U760" s="403"/>
      <c r="W760" s="43" t="str">
        <f t="shared" si="220"/>
        <v/>
      </c>
      <c r="X760" s="43" t="str">
        <f t="shared" si="212"/>
        <v/>
      </c>
      <c r="Y760" s="43" t="str">
        <f t="shared" si="195"/>
        <v/>
      </c>
    </row>
    <row r="761" spans="1:25" hidden="1">
      <c r="A761" s="155">
        <v>871</v>
      </c>
      <c r="B761" s="156" t="s">
        <v>591</v>
      </c>
      <c r="C761" s="411" t="s">
        <v>810</v>
      </c>
      <c r="D761" s="351"/>
      <c r="E761" s="405"/>
      <c r="F761" s="406"/>
      <c r="G761" s="158"/>
      <c r="H761" s="465">
        <v>11.31</v>
      </c>
      <c r="I761" s="465">
        <f t="shared" si="221"/>
        <v>11.31</v>
      </c>
      <c r="J761" s="407">
        <f t="shared" si="213"/>
        <v>14.34</v>
      </c>
      <c r="K761" s="408" t="s">
        <v>23</v>
      </c>
      <c r="L761" s="152">
        <v>0</v>
      </c>
      <c r="M761" s="152"/>
      <c r="N761" s="402">
        <f t="shared" si="214"/>
        <v>0</v>
      </c>
      <c r="O761" s="402">
        <f t="shared" si="215"/>
        <v>0</v>
      </c>
      <c r="P761" s="403"/>
      <c r="Q761" s="152">
        <f t="shared" si="219"/>
        <v>0</v>
      </c>
      <c r="R761" s="152">
        <f t="shared" si="219"/>
        <v>0</v>
      </c>
      <c r="S761" s="402">
        <f t="shared" si="216"/>
        <v>0</v>
      </c>
      <c r="T761" s="404">
        <f t="shared" si="217"/>
        <v>0</v>
      </c>
      <c r="U761" s="403"/>
      <c r="W761" s="43" t="str">
        <f t="shared" si="220"/>
        <v/>
      </c>
      <c r="X761" s="43" t="str">
        <f t="shared" si="212"/>
        <v/>
      </c>
      <c r="Y761" s="43" t="str">
        <f t="shared" si="195"/>
        <v/>
      </c>
    </row>
    <row r="762" spans="1:25" hidden="1">
      <c r="A762" s="155" t="s">
        <v>798</v>
      </c>
      <c r="B762" s="156" t="s">
        <v>591</v>
      </c>
      <c r="C762" s="411" t="s">
        <v>811</v>
      </c>
      <c r="D762" s="351"/>
      <c r="E762" s="405"/>
      <c r="F762" s="406"/>
      <c r="G762" s="158"/>
      <c r="H762" s="465">
        <v>4.45</v>
      </c>
      <c r="I762" s="465">
        <f t="shared" si="221"/>
        <v>4.45</v>
      </c>
      <c r="J762" s="407">
        <f t="shared" si="213"/>
        <v>5.64</v>
      </c>
      <c r="K762" s="408" t="s">
        <v>23</v>
      </c>
      <c r="L762" s="152">
        <v>0</v>
      </c>
      <c r="M762" s="152"/>
      <c r="N762" s="402">
        <f t="shared" si="214"/>
        <v>0</v>
      </c>
      <c r="O762" s="402">
        <f t="shared" si="215"/>
        <v>0</v>
      </c>
      <c r="P762" s="403"/>
      <c r="Q762" s="152">
        <f t="shared" ref="Q762:R785" si="222">L762</f>
        <v>0</v>
      </c>
      <c r="R762" s="152">
        <f t="shared" si="222"/>
        <v>0</v>
      </c>
      <c r="S762" s="402">
        <f t="shared" si="216"/>
        <v>0</v>
      </c>
      <c r="T762" s="404">
        <f t="shared" si="217"/>
        <v>0</v>
      </c>
      <c r="U762" s="403"/>
      <c r="W762" s="43" t="str">
        <f t="shared" si="220"/>
        <v/>
      </c>
      <c r="X762" s="43" t="str">
        <f t="shared" si="212"/>
        <v/>
      </c>
      <c r="Y762" s="43" t="str">
        <f t="shared" si="195"/>
        <v/>
      </c>
    </row>
    <row r="763" spans="1:25" hidden="1">
      <c r="A763" s="155">
        <v>834</v>
      </c>
      <c r="B763" s="156" t="s">
        <v>591</v>
      </c>
      <c r="C763" s="411" t="s">
        <v>829</v>
      </c>
      <c r="D763" s="351"/>
      <c r="E763" s="405"/>
      <c r="F763" s="406"/>
      <c r="G763" s="158"/>
      <c r="H763" s="465">
        <v>11.99</v>
      </c>
      <c r="I763" s="465">
        <f t="shared" si="221"/>
        <v>11.99</v>
      </c>
      <c r="J763" s="407">
        <f t="shared" si="213"/>
        <v>15.2</v>
      </c>
      <c r="K763" s="408" t="s">
        <v>23</v>
      </c>
      <c r="L763" s="152">
        <v>0</v>
      </c>
      <c r="M763" s="152"/>
      <c r="N763" s="402">
        <f t="shared" si="214"/>
        <v>0</v>
      </c>
      <c r="O763" s="402">
        <f t="shared" si="215"/>
        <v>0</v>
      </c>
      <c r="P763" s="403"/>
      <c r="Q763" s="152">
        <f t="shared" si="222"/>
        <v>0</v>
      </c>
      <c r="R763" s="152">
        <f t="shared" si="222"/>
        <v>0</v>
      </c>
      <c r="S763" s="402">
        <f t="shared" si="216"/>
        <v>0</v>
      </c>
      <c r="T763" s="404">
        <f t="shared" si="217"/>
        <v>0</v>
      </c>
      <c r="U763" s="403"/>
      <c r="W763" s="43" t="str">
        <f t="shared" si="220"/>
        <v/>
      </c>
      <c r="X763" s="43" t="str">
        <f t="shared" si="212"/>
        <v/>
      </c>
      <c r="Y763" s="43" t="str">
        <f t="shared" si="195"/>
        <v/>
      </c>
    </row>
    <row r="764" spans="1:25" hidden="1">
      <c r="A764" s="155" t="s">
        <v>826</v>
      </c>
      <c r="B764" s="156" t="s">
        <v>591</v>
      </c>
      <c r="C764" s="411" t="s">
        <v>860</v>
      </c>
      <c r="D764" s="351"/>
      <c r="E764" s="405"/>
      <c r="F764" s="406"/>
      <c r="G764" s="158"/>
      <c r="H764" s="465">
        <v>4.8</v>
      </c>
      <c r="I764" s="465">
        <f t="shared" si="221"/>
        <v>4.8</v>
      </c>
      <c r="J764" s="407">
        <f t="shared" si="213"/>
        <v>6.09</v>
      </c>
      <c r="K764" s="408" t="s">
        <v>23</v>
      </c>
      <c r="L764" s="152">
        <v>0</v>
      </c>
      <c r="M764" s="152"/>
      <c r="N764" s="402">
        <f t="shared" si="214"/>
        <v>0</v>
      </c>
      <c r="O764" s="402">
        <f t="shared" si="215"/>
        <v>0</v>
      </c>
      <c r="P764" s="403"/>
      <c r="Q764" s="152">
        <f t="shared" si="222"/>
        <v>0</v>
      </c>
      <c r="R764" s="152">
        <f t="shared" si="222"/>
        <v>0</v>
      </c>
      <c r="S764" s="402">
        <f t="shared" si="216"/>
        <v>0</v>
      </c>
      <c r="T764" s="404">
        <f t="shared" si="217"/>
        <v>0</v>
      </c>
      <c r="U764" s="403"/>
      <c r="W764" s="43" t="str">
        <f t="shared" si="220"/>
        <v/>
      </c>
      <c r="X764" s="43" t="str">
        <f t="shared" si="212"/>
        <v/>
      </c>
      <c r="Y764" s="43" t="str">
        <f t="shared" si="195"/>
        <v/>
      </c>
    </row>
    <row r="765" spans="1:25" ht="25.5" hidden="1">
      <c r="A765" s="155">
        <v>835</v>
      </c>
      <c r="B765" s="156" t="s">
        <v>591</v>
      </c>
      <c r="C765" s="411" t="s">
        <v>830</v>
      </c>
      <c r="D765" s="351"/>
      <c r="E765" s="405"/>
      <c r="F765" s="406"/>
      <c r="G765" s="158"/>
      <c r="H765" s="465">
        <v>43.85</v>
      </c>
      <c r="I765" s="465">
        <f t="shared" si="221"/>
        <v>43.85</v>
      </c>
      <c r="J765" s="407">
        <f t="shared" si="213"/>
        <v>55.6</v>
      </c>
      <c r="K765" s="408" t="s">
        <v>23</v>
      </c>
      <c r="L765" s="152">
        <v>0</v>
      </c>
      <c r="M765" s="152"/>
      <c r="N765" s="402">
        <f t="shared" si="214"/>
        <v>0</v>
      </c>
      <c r="O765" s="402">
        <f t="shared" si="215"/>
        <v>0</v>
      </c>
      <c r="P765" s="403"/>
      <c r="Q765" s="152">
        <f t="shared" si="222"/>
        <v>0</v>
      </c>
      <c r="R765" s="152">
        <f t="shared" si="222"/>
        <v>0</v>
      </c>
      <c r="S765" s="402">
        <f t="shared" si="216"/>
        <v>0</v>
      </c>
      <c r="T765" s="404">
        <f t="shared" si="217"/>
        <v>0</v>
      </c>
      <c r="U765" s="403"/>
      <c r="W765" s="43" t="str">
        <f t="shared" si="220"/>
        <v/>
      </c>
      <c r="X765" s="43" t="str">
        <f t="shared" si="212"/>
        <v/>
      </c>
      <c r="Y765" s="43" t="str">
        <f t="shared" si="195"/>
        <v/>
      </c>
    </row>
    <row r="766" spans="1:25" ht="25.5" hidden="1">
      <c r="A766" s="155" t="s">
        <v>834</v>
      </c>
      <c r="B766" s="156" t="s">
        <v>591</v>
      </c>
      <c r="C766" s="411" t="s">
        <v>831</v>
      </c>
      <c r="D766" s="351"/>
      <c r="E766" s="405"/>
      <c r="F766" s="406"/>
      <c r="G766" s="158"/>
      <c r="H766" s="465">
        <v>17.47</v>
      </c>
      <c r="I766" s="465">
        <f t="shared" si="221"/>
        <v>17.47</v>
      </c>
      <c r="J766" s="407">
        <f t="shared" si="213"/>
        <v>22.15</v>
      </c>
      <c r="K766" s="408" t="s">
        <v>23</v>
      </c>
      <c r="L766" s="152">
        <v>0</v>
      </c>
      <c r="M766" s="152"/>
      <c r="N766" s="402">
        <f t="shared" si="214"/>
        <v>0</v>
      </c>
      <c r="O766" s="402">
        <f t="shared" si="215"/>
        <v>0</v>
      </c>
      <c r="P766" s="403"/>
      <c r="Q766" s="152">
        <f t="shared" si="222"/>
        <v>0</v>
      </c>
      <c r="R766" s="152">
        <f t="shared" si="222"/>
        <v>0</v>
      </c>
      <c r="S766" s="402">
        <f t="shared" si="216"/>
        <v>0</v>
      </c>
      <c r="T766" s="404">
        <f t="shared" si="217"/>
        <v>0</v>
      </c>
      <c r="U766" s="403"/>
      <c r="W766" s="43" t="str">
        <f t="shared" si="220"/>
        <v/>
      </c>
      <c r="X766" s="43" t="str">
        <f t="shared" si="212"/>
        <v/>
      </c>
      <c r="Y766" s="43" t="str">
        <f t="shared" si="195"/>
        <v/>
      </c>
    </row>
    <row r="767" spans="1:25" ht="25.5" hidden="1">
      <c r="A767" s="155">
        <v>836</v>
      </c>
      <c r="B767" s="156" t="s">
        <v>591</v>
      </c>
      <c r="C767" s="411" t="s">
        <v>832</v>
      </c>
      <c r="D767" s="351"/>
      <c r="E767" s="405"/>
      <c r="F767" s="406"/>
      <c r="G767" s="158"/>
      <c r="H767" s="465">
        <v>114.78</v>
      </c>
      <c r="I767" s="465">
        <f t="shared" si="221"/>
        <v>114.78</v>
      </c>
      <c r="J767" s="407">
        <f t="shared" si="213"/>
        <v>145.54</v>
      </c>
      <c r="K767" s="408" t="s">
        <v>23</v>
      </c>
      <c r="L767" s="152">
        <v>0</v>
      </c>
      <c r="M767" s="152"/>
      <c r="N767" s="402">
        <f t="shared" si="214"/>
        <v>0</v>
      </c>
      <c r="O767" s="402">
        <f t="shared" si="215"/>
        <v>0</v>
      </c>
      <c r="P767" s="403"/>
      <c r="Q767" s="152">
        <f t="shared" si="222"/>
        <v>0</v>
      </c>
      <c r="R767" s="152">
        <f t="shared" si="222"/>
        <v>0</v>
      </c>
      <c r="S767" s="402">
        <f t="shared" si="216"/>
        <v>0</v>
      </c>
      <c r="T767" s="404">
        <f t="shared" si="217"/>
        <v>0</v>
      </c>
      <c r="U767" s="403"/>
      <c r="W767" s="43" t="str">
        <f t="shared" si="220"/>
        <v/>
      </c>
      <c r="X767" s="43" t="str">
        <f t="shared" si="212"/>
        <v/>
      </c>
      <c r="Y767" s="43" t="str">
        <f t="shared" si="195"/>
        <v/>
      </c>
    </row>
    <row r="768" spans="1:25" ht="25.5" hidden="1">
      <c r="A768" s="155" t="s">
        <v>827</v>
      </c>
      <c r="B768" s="156" t="s">
        <v>591</v>
      </c>
      <c r="C768" s="411" t="s">
        <v>859</v>
      </c>
      <c r="D768" s="351"/>
      <c r="E768" s="405"/>
      <c r="F768" s="406"/>
      <c r="G768" s="158"/>
      <c r="H768" s="465">
        <v>57.56</v>
      </c>
      <c r="I768" s="465">
        <f t="shared" si="221"/>
        <v>57.56</v>
      </c>
      <c r="J768" s="407">
        <f t="shared" si="213"/>
        <v>72.989999999999995</v>
      </c>
      <c r="K768" s="408" t="s">
        <v>23</v>
      </c>
      <c r="L768" s="152">
        <v>0</v>
      </c>
      <c r="M768" s="152"/>
      <c r="N768" s="402">
        <f t="shared" si="214"/>
        <v>0</v>
      </c>
      <c r="O768" s="402">
        <f t="shared" si="215"/>
        <v>0</v>
      </c>
      <c r="P768" s="403"/>
      <c r="Q768" s="152">
        <f t="shared" si="222"/>
        <v>0</v>
      </c>
      <c r="R768" s="152">
        <f t="shared" si="222"/>
        <v>0</v>
      </c>
      <c r="S768" s="402">
        <f t="shared" si="216"/>
        <v>0</v>
      </c>
      <c r="T768" s="404">
        <f t="shared" si="217"/>
        <v>0</v>
      </c>
      <c r="U768" s="403"/>
      <c r="W768" s="43" t="str">
        <f t="shared" si="220"/>
        <v/>
      </c>
      <c r="X768" s="43" t="str">
        <f t="shared" si="212"/>
        <v/>
      </c>
      <c r="Y768" s="43" t="str">
        <f t="shared" si="195"/>
        <v/>
      </c>
    </row>
    <row r="769" spans="1:25" hidden="1">
      <c r="A769" s="155">
        <v>837</v>
      </c>
      <c r="B769" s="156" t="s">
        <v>591</v>
      </c>
      <c r="C769" s="411" t="s">
        <v>833</v>
      </c>
      <c r="D769" s="351"/>
      <c r="E769" s="405"/>
      <c r="F769" s="406"/>
      <c r="G769" s="158"/>
      <c r="H769" s="465">
        <v>20.9</v>
      </c>
      <c r="I769" s="465">
        <f t="shared" si="221"/>
        <v>20.9</v>
      </c>
      <c r="J769" s="407">
        <f t="shared" si="213"/>
        <v>26.5</v>
      </c>
      <c r="K769" s="408" t="s">
        <v>23</v>
      </c>
      <c r="L769" s="152">
        <v>0</v>
      </c>
      <c r="M769" s="152"/>
      <c r="N769" s="402">
        <f t="shared" si="214"/>
        <v>0</v>
      </c>
      <c r="O769" s="402">
        <f t="shared" si="215"/>
        <v>0</v>
      </c>
      <c r="P769" s="403"/>
      <c r="Q769" s="152">
        <f t="shared" si="222"/>
        <v>0</v>
      </c>
      <c r="R769" s="152">
        <f t="shared" si="222"/>
        <v>0</v>
      </c>
      <c r="S769" s="402">
        <f t="shared" si="216"/>
        <v>0</v>
      </c>
      <c r="T769" s="404">
        <f t="shared" si="217"/>
        <v>0</v>
      </c>
      <c r="U769" s="403"/>
      <c r="W769" s="43" t="str">
        <f t="shared" si="220"/>
        <v/>
      </c>
      <c r="X769" s="43" t="str">
        <f t="shared" si="212"/>
        <v/>
      </c>
      <c r="Y769" s="43" t="str">
        <f t="shared" si="195"/>
        <v/>
      </c>
    </row>
    <row r="770" spans="1:25" hidden="1">
      <c r="A770" s="155">
        <v>838</v>
      </c>
      <c r="B770" s="156" t="s">
        <v>591</v>
      </c>
      <c r="C770" s="411" t="s">
        <v>843</v>
      </c>
      <c r="D770" s="351"/>
      <c r="E770" s="405"/>
      <c r="F770" s="406"/>
      <c r="G770" s="158"/>
      <c r="H770" s="465">
        <v>53.11</v>
      </c>
      <c r="I770" s="465">
        <f t="shared" si="221"/>
        <v>53.11</v>
      </c>
      <c r="J770" s="407">
        <f t="shared" si="213"/>
        <v>67.34</v>
      </c>
      <c r="K770" s="408" t="s">
        <v>23</v>
      </c>
      <c r="L770" s="152">
        <v>0</v>
      </c>
      <c r="M770" s="152"/>
      <c r="N770" s="402">
        <f t="shared" si="214"/>
        <v>0</v>
      </c>
      <c r="O770" s="402">
        <f t="shared" si="215"/>
        <v>0</v>
      </c>
      <c r="P770" s="403"/>
      <c r="Q770" s="152">
        <f t="shared" si="222"/>
        <v>0</v>
      </c>
      <c r="R770" s="152">
        <f t="shared" si="222"/>
        <v>0</v>
      </c>
      <c r="S770" s="402">
        <f t="shared" si="216"/>
        <v>0</v>
      </c>
      <c r="T770" s="404">
        <f t="shared" si="217"/>
        <v>0</v>
      </c>
      <c r="U770" s="403"/>
      <c r="W770" s="43" t="str">
        <f t="shared" si="220"/>
        <v/>
      </c>
      <c r="X770" s="43" t="str">
        <f t="shared" si="212"/>
        <v/>
      </c>
      <c r="Y770" s="43" t="str">
        <f t="shared" si="195"/>
        <v/>
      </c>
    </row>
    <row r="771" spans="1:25" hidden="1">
      <c r="A771" s="155" t="s">
        <v>835</v>
      </c>
      <c r="B771" s="156" t="s">
        <v>591</v>
      </c>
      <c r="C771" s="411" t="s">
        <v>844</v>
      </c>
      <c r="D771" s="351"/>
      <c r="E771" s="405"/>
      <c r="F771" s="406"/>
      <c r="G771" s="158"/>
      <c r="H771" s="465">
        <v>21.24</v>
      </c>
      <c r="I771" s="465">
        <f t="shared" si="221"/>
        <v>21.24</v>
      </c>
      <c r="J771" s="407">
        <f t="shared" si="213"/>
        <v>26.93</v>
      </c>
      <c r="K771" s="408" t="s">
        <v>23</v>
      </c>
      <c r="L771" s="152">
        <v>0</v>
      </c>
      <c r="M771" s="152"/>
      <c r="N771" s="402">
        <f t="shared" si="214"/>
        <v>0</v>
      </c>
      <c r="O771" s="402">
        <f t="shared" si="215"/>
        <v>0</v>
      </c>
      <c r="P771" s="403"/>
      <c r="Q771" s="152">
        <f t="shared" si="222"/>
        <v>0</v>
      </c>
      <c r="R771" s="152">
        <f t="shared" si="222"/>
        <v>0</v>
      </c>
      <c r="S771" s="402">
        <f t="shared" si="216"/>
        <v>0</v>
      </c>
      <c r="T771" s="404">
        <f t="shared" si="217"/>
        <v>0</v>
      </c>
      <c r="U771" s="403"/>
      <c r="W771" s="43" t="str">
        <f t="shared" si="220"/>
        <v/>
      </c>
      <c r="X771" s="43" t="str">
        <f t="shared" si="212"/>
        <v/>
      </c>
      <c r="Y771" s="43" t="str">
        <f t="shared" si="195"/>
        <v/>
      </c>
    </row>
    <row r="772" spans="1:25" hidden="1">
      <c r="A772" s="155">
        <v>839</v>
      </c>
      <c r="B772" s="156" t="s">
        <v>591</v>
      </c>
      <c r="C772" s="411" t="s">
        <v>845</v>
      </c>
      <c r="D772" s="351"/>
      <c r="E772" s="405"/>
      <c r="F772" s="406"/>
      <c r="G772" s="158"/>
      <c r="H772" s="465">
        <v>171.99</v>
      </c>
      <c r="I772" s="465">
        <f t="shared" si="221"/>
        <v>171.99</v>
      </c>
      <c r="J772" s="407">
        <f t="shared" si="213"/>
        <v>218.08</v>
      </c>
      <c r="K772" s="408" t="s">
        <v>23</v>
      </c>
      <c r="L772" s="152">
        <v>0</v>
      </c>
      <c r="M772" s="152"/>
      <c r="N772" s="402">
        <f t="shared" si="214"/>
        <v>0</v>
      </c>
      <c r="O772" s="402">
        <f t="shared" si="215"/>
        <v>0</v>
      </c>
      <c r="P772" s="403"/>
      <c r="Q772" s="152">
        <f t="shared" si="222"/>
        <v>0</v>
      </c>
      <c r="R772" s="152">
        <f t="shared" si="222"/>
        <v>0</v>
      </c>
      <c r="S772" s="402">
        <f t="shared" si="216"/>
        <v>0</v>
      </c>
      <c r="T772" s="404">
        <f t="shared" si="217"/>
        <v>0</v>
      </c>
      <c r="U772" s="403"/>
      <c r="W772" s="43" t="str">
        <f t="shared" si="220"/>
        <v/>
      </c>
      <c r="X772" s="43" t="str">
        <f t="shared" si="212"/>
        <v/>
      </c>
      <c r="Y772" s="43" t="str">
        <f t="shared" si="195"/>
        <v/>
      </c>
    </row>
    <row r="773" spans="1:25" hidden="1">
      <c r="A773" s="155" t="s">
        <v>836</v>
      </c>
      <c r="B773" s="156" t="s">
        <v>591</v>
      </c>
      <c r="C773" s="411" t="s">
        <v>846</v>
      </c>
      <c r="D773" s="351"/>
      <c r="E773" s="405"/>
      <c r="F773" s="406"/>
      <c r="G773" s="158"/>
      <c r="H773" s="465">
        <v>120.26</v>
      </c>
      <c r="I773" s="465">
        <f t="shared" si="221"/>
        <v>120.26</v>
      </c>
      <c r="J773" s="407">
        <f t="shared" si="213"/>
        <v>152.49</v>
      </c>
      <c r="K773" s="408" t="s">
        <v>23</v>
      </c>
      <c r="L773" s="152">
        <v>0</v>
      </c>
      <c r="M773" s="152"/>
      <c r="N773" s="402">
        <f t="shared" si="214"/>
        <v>0</v>
      </c>
      <c r="O773" s="402">
        <f t="shared" si="215"/>
        <v>0</v>
      </c>
      <c r="P773" s="403"/>
      <c r="Q773" s="152">
        <f t="shared" si="222"/>
        <v>0</v>
      </c>
      <c r="R773" s="152">
        <f t="shared" si="222"/>
        <v>0</v>
      </c>
      <c r="S773" s="402">
        <f t="shared" si="216"/>
        <v>0</v>
      </c>
      <c r="T773" s="404">
        <f t="shared" si="217"/>
        <v>0</v>
      </c>
      <c r="U773" s="403"/>
      <c r="W773" s="43" t="str">
        <f t="shared" si="220"/>
        <v/>
      </c>
      <c r="X773" s="43" t="str">
        <f t="shared" si="212"/>
        <v/>
      </c>
      <c r="Y773" s="43" t="str">
        <f t="shared" si="195"/>
        <v/>
      </c>
    </row>
    <row r="774" spans="1:25" hidden="1">
      <c r="A774" s="155">
        <v>840</v>
      </c>
      <c r="B774" s="156" t="s">
        <v>591</v>
      </c>
      <c r="C774" s="411" t="s">
        <v>847</v>
      </c>
      <c r="D774" s="351"/>
      <c r="E774" s="405"/>
      <c r="F774" s="406"/>
      <c r="G774" s="158"/>
      <c r="H774" s="465">
        <v>402.57</v>
      </c>
      <c r="I774" s="465">
        <f t="shared" si="221"/>
        <v>402.57</v>
      </c>
      <c r="J774" s="407">
        <f t="shared" si="213"/>
        <v>510.46</v>
      </c>
      <c r="K774" s="408" t="s">
        <v>23</v>
      </c>
      <c r="L774" s="152">
        <v>0</v>
      </c>
      <c r="M774" s="152"/>
      <c r="N774" s="402">
        <f t="shared" si="214"/>
        <v>0</v>
      </c>
      <c r="O774" s="402">
        <f t="shared" si="215"/>
        <v>0</v>
      </c>
      <c r="P774" s="403"/>
      <c r="Q774" s="152">
        <f t="shared" si="222"/>
        <v>0</v>
      </c>
      <c r="R774" s="152">
        <f t="shared" si="222"/>
        <v>0</v>
      </c>
      <c r="S774" s="402">
        <f t="shared" si="216"/>
        <v>0</v>
      </c>
      <c r="T774" s="404">
        <f t="shared" si="217"/>
        <v>0</v>
      </c>
      <c r="U774" s="403"/>
      <c r="W774" s="43" t="str">
        <f t="shared" si="220"/>
        <v/>
      </c>
      <c r="X774" s="43" t="str">
        <f t="shared" si="212"/>
        <v/>
      </c>
      <c r="Y774" s="43" t="str">
        <f t="shared" si="195"/>
        <v/>
      </c>
    </row>
    <row r="775" spans="1:25" hidden="1">
      <c r="A775" s="155" t="s">
        <v>837</v>
      </c>
      <c r="B775" s="156" t="s">
        <v>591</v>
      </c>
      <c r="C775" s="411" t="s">
        <v>864</v>
      </c>
      <c r="D775" s="351"/>
      <c r="E775" s="405"/>
      <c r="F775" s="406"/>
      <c r="G775" s="158"/>
      <c r="H775" s="465">
        <v>161.03</v>
      </c>
      <c r="I775" s="465">
        <f t="shared" si="221"/>
        <v>161.03</v>
      </c>
      <c r="J775" s="407">
        <f t="shared" si="213"/>
        <v>204.19</v>
      </c>
      <c r="K775" s="408" t="s">
        <v>23</v>
      </c>
      <c r="L775" s="152">
        <v>0</v>
      </c>
      <c r="M775" s="152"/>
      <c r="N775" s="402">
        <f t="shared" si="214"/>
        <v>0</v>
      </c>
      <c r="O775" s="402">
        <f t="shared" si="215"/>
        <v>0</v>
      </c>
      <c r="P775" s="403"/>
      <c r="Q775" s="152">
        <f t="shared" si="222"/>
        <v>0</v>
      </c>
      <c r="R775" s="152">
        <f t="shared" si="222"/>
        <v>0</v>
      </c>
      <c r="S775" s="402">
        <f t="shared" si="216"/>
        <v>0</v>
      </c>
      <c r="T775" s="404">
        <f t="shared" si="217"/>
        <v>0</v>
      </c>
      <c r="U775" s="403"/>
      <c r="W775" s="43" t="str">
        <f t="shared" si="220"/>
        <v/>
      </c>
      <c r="X775" s="43" t="str">
        <f t="shared" si="212"/>
        <v/>
      </c>
      <c r="Y775" s="43" t="str">
        <f t="shared" si="195"/>
        <v/>
      </c>
    </row>
    <row r="776" spans="1:25" hidden="1">
      <c r="A776" s="155">
        <v>841</v>
      </c>
      <c r="B776" s="156" t="s">
        <v>591</v>
      </c>
      <c r="C776" s="411" t="s">
        <v>848</v>
      </c>
      <c r="D776" s="351"/>
      <c r="E776" s="405"/>
      <c r="F776" s="406"/>
      <c r="G776" s="158"/>
      <c r="H776" s="465">
        <v>191.86</v>
      </c>
      <c r="I776" s="465">
        <f t="shared" ref="I776:I839" si="223">IF(ISBLANK(H776),"",SUM(G776:H776))</f>
        <v>191.86</v>
      </c>
      <c r="J776" s="407">
        <f t="shared" si="213"/>
        <v>243.28</v>
      </c>
      <c r="K776" s="408" t="s">
        <v>23</v>
      </c>
      <c r="L776" s="152">
        <v>0</v>
      </c>
      <c r="M776" s="152"/>
      <c r="N776" s="402">
        <f t="shared" si="214"/>
        <v>0</v>
      </c>
      <c r="O776" s="402">
        <f t="shared" si="215"/>
        <v>0</v>
      </c>
      <c r="P776" s="403"/>
      <c r="Q776" s="152">
        <f t="shared" si="222"/>
        <v>0</v>
      </c>
      <c r="R776" s="152">
        <f t="shared" si="222"/>
        <v>0</v>
      </c>
      <c r="S776" s="402">
        <f t="shared" si="216"/>
        <v>0</v>
      </c>
      <c r="T776" s="404">
        <f t="shared" si="217"/>
        <v>0</v>
      </c>
      <c r="U776" s="403"/>
      <c r="W776" s="43" t="str">
        <f t="shared" si="220"/>
        <v/>
      </c>
      <c r="X776" s="43" t="str">
        <f t="shared" si="212"/>
        <v/>
      </c>
      <c r="Y776" s="43" t="str">
        <f t="shared" si="195"/>
        <v/>
      </c>
    </row>
    <row r="777" spans="1:25" hidden="1">
      <c r="A777" s="155" t="s">
        <v>838</v>
      </c>
      <c r="B777" s="156" t="s">
        <v>591</v>
      </c>
      <c r="C777" s="411" t="s">
        <v>858</v>
      </c>
      <c r="D777" s="351"/>
      <c r="E777" s="405"/>
      <c r="F777" s="406"/>
      <c r="G777" s="158"/>
      <c r="H777" s="465">
        <v>76.75</v>
      </c>
      <c r="I777" s="465">
        <f t="shared" si="223"/>
        <v>76.75</v>
      </c>
      <c r="J777" s="407">
        <f t="shared" si="213"/>
        <v>97.32</v>
      </c>
      <c r="K777" s="408" t="s">
        <v>23</v>
      </c>
      <c r="L777" s="152">
        <v>0</v>
      </c>
      <c r="M777" s="152"/>
      <c r="N777" s="402">
        <f t="shared" si="214"/>
        <v>0</v>
      </c>
      <c r="O777" s="402">
        <f t="shared" si="215"/>
        <v>0</v>
      </c>
      <c r="P777" s="403"/>
      <c r="Q777" s="152">
        <f t="shared" si="222"/>
        <v>0</v>
      </c>
      <c r="R777" s="152">
        <f t="shared" si="222"/>
        <v>0</v>
      </c>
      <c r="S777" s="402">
        <f t="shared" si="216"/>
        <v>0</v>
      </c>
      <c r="T777" s="404">
        <f t="shared" si="217"/>
        <v>0</v>
      </c>
      <c r="U777" s="403"/>
      <c r="W777" s="43" t="str">
        <f t="shared" si="220"/>
        <v/>
      </c>
      <c r="X777" s="43" t="str">
        <f t="shared" si="212"/>
        <v/>
      </c>
      <c r="Y777" s="43" t="str">
        <f t="shared" si="195"/>
        <v/>
      </c>
    </row>
    <row r="778" spans="1:25" ht="25.5" hidden="1">
      <c r="A778" s="155">
        <v>842</v>
      </c>
      <c r="B778" s="156" t="s">
        <v>591</v>
      </c>
      <c r="C778" s="411" t="s">
        <v>849</v>
      </c>
      <c r="D778" s="351"/>
      <c r="E778" s="405"/>
      <c r="F778" s="406"/>
      <c r="G778" s="158"/>
      <c r="H778" s="465">
        <v>11.99</v>
      </c>
      <c r="I778" s="465">
        <f t="shared" si="223"/>
        <v>11.99</v>
      </c>
      <c r="J778" s="407">
        <f t="shared" ref="J778:J841" si="224">IF(ISBLANK(H778),0,ROUND(I778*(1+$E$10)*(1+$E$11*D778),2))</f>
        <v>15.2</v>
      </c>
      <c r="K778" s="408" t="s">
        <v>23</v>
      </c>
      <c r="L778" s="152">
        <v>0</v>
      </c>
      <c r="M778" s="152"/>
      <c r="N778" s="402">
        <f t="shared" ref="N778:N841" si="225">IF(ISBLANK(L778),0,ROUND(J778*L778,2))</f>
        <v>0</v>
      </c>
      <c r="O778" s="402">
        <f t="shared" ref="O778:O841" si="226">IF(ISBLANK(M778),0,ROUND(L778*M778,2))</f>
        <v>0</v>
      </c>
      <c r="P778" s="403"/>
      <c r="Q778" s="152">
        <f t="shared" si="222"/>
        <v>0</v>
      </c>
      <c r="R778" s="152">
        <f t="shared" si="222"/>
        <v>0</v>
      </c>
      <c r="S778" s="402">
        <f t="shared" ref="S778:S841" si="227">IF(ISBLANK(Q778),0,ROUND(J778*Q778,2))</f>
        <v>0</v>
      </c>
      <c r="T778" s="404">
        <f t="shared" ref="T778:T841" si="228">IF(ISBLANK(Q778),0,ROUND(Q778*R778,2))</f>
        <v>0</v>
      </c>
      <c r="U778" s="403"/>
      <c r="W778" s="43" t="str">
        <f t="shared" si="220"/>
        <v/>
      </c>
      <c r="X778" s="43" t="str">
        <f t="shared" si="212"/>
        <v/>
      </c>
      <c r="Y778" s="43" t="str">
        <f t="shared" si="195"/>
        <v/>
      </c>
    </row>
    <row r="779" spans="1:25" ht="25.5" hidden="1">
      <c r="A779" s="155" t="s">
        <v>839</v>
      </c>
      <c r="B779" s="156" t="s">
        <v>591</v>
      </c>
      <c r="C779" s="411" t="s">
        <v>850</v>
      </c>
      <c r="D779" s="351"/>
      <c r="E779" s="405"/>
      <c r="F779" s="406"/>
      <c r="G779" s="158"/>
      <c r="H779" s="465">
        <v>4.8</v>
      </c>
      <c r="I779" s="465">
        <f t="shared" si="223"/>
        <v>4.8</v>
      </c>
      <c r="J779" s="407">
        <f t="shared" si="224"/>
        <v>6.09</v>
      </c>
      <c r="K779" s="408" t="s">
        <v>23</v>
      </c>
      <c r="L779" s="152">
        <v>0</v>
      </c>
      <c r="M779" s="152"/>
      <c r="N779" s="402">
        <f t="shared" si="225"/>
        <v>0</v>
      </c>
      <c r="O779" s="402">
        <f t="shared" si="226"/>
        <v>0</v>
      </c>
      <c r="P779" s="403"/>
      <c r="Q779" s="152">
        <f t="shared" si="222"/>
        <v>0</v>
      </c>
      <c r="R779" s="152">
        <f t="shared" si="222"/>
        <v>0</v>
      </c>
      <c r="S779" s="402">
        <f t="shared" si="227"/>
        <v>0</v>
      </c>
      <c r="T779" s="404">
        <f t="shared" si="228"/>
        <v>0</v>
      </c>
      <c r="U779" s="403"/>
      <c r="W779" s="43" t="str">
        <f t="shared" si="220"/>
        <v/>
      </c>
      <c r="X779" s="43" t="str">
        <f t="shared" si="212"/>
        <v/>
      </c>
      <c r="Y779" s="43" t="str">
        <f t="shared" si="195"/>
        <v/>
      </c>
    </row>
    <row r="780" spans="1:25" ht="25.5" hidden="1">
      <c r="A780" s="155">
        <v>843</v>
      </c>
      <c r="B780" s="156" t="s">
        <v>591</v>
      </c>
      <c r="C780" s="411" t="s">
        <v>851</v>
      </c>
      <c r="D780" s="351"/>
      <c r="E780" s="405"/>
      <c r="F780" s="406"/>
      <c r="G780" s="158"/>
      <c r="H780" s="465">
        <v>133.28</v>
      </c>
      <c r="I780" s="465">
        <f t="shared" si="223"/>
        <v>133.28</v>
      </c>
      <c r="J780" s="407">
        <f t="shared" si="224"/>
        <v>169</v>
      </c>
      <c r="K780" s="408" t="s">
        <v>23</v>
      </c>
      <c r="L780" s="152">
        <v>0</v>
      </c>
      <c r="M780" s="152"/>
      <c r="N780" s="402">
        <f t="shared" si="225"/>
        <v>0</v>
      </c>
      <c r="O780" s="402">
        <f t="shared" si="226"/>
        <v>0</v>
      </c>
      <c r="P780" s="403"/>
      <c r="Q780" s="152">
        <f t="shared" si="222"/>
        <v>0</v>
      </c>
      <c r="R780" s="152">
        <f t="shared" si="222"/>
        <v>0</v>
      </c>
      <c r="S780" s="402">
        <f t="shared" si="227"/>
        <v>0</v>
      </c>
      <c r="T780" s="404">
        <f t="shared" si="228"/>
        <v>0</v>
      </c>
      <c r="U780" s="403"/>
      <c r="W780" s="43" t="str">
        <f t="shared" si="220"/>
        <v/>
      </c>
      <c r="X780" s="43" t="str">
        <f t="shared" si="212"/>
        <v/>
      </c>
      <c r="Y780" s="43" t="str">
        <f t="shared" si="195"/>
        <v/>
      </c>
    </row>
    <row r="781" spans="1:25" ht="25.5" hidden="1">
      <c r="A781" s="155" t="s">
        <v>841</v>
      </c>
      <c r="B781" s="156" t="s">
        <v>591</v>
      </c>
      <c r="C781" s="411" t="s">
        <v>863</v>
      </c>
      <c r="D781" s="351"/>
      <c r="E781" s="405"/>
      <c r="F781" s="406"/>
      <c r="G781" s="158"/>
      <c r="H781" s="465">
        <v>53.45</v>
      </c>
      <c r="I781" s="465">
        <f t="shared" si="223"/>
        <v>53.45</v>
      </c>
      <c r="J781" s="407">
        <f t="shared" si="224"/>
        <v>67.77</v>
      </c>
      <c r="K781" s="408" t="s">
        <v>23</v>
      </c>
      <c r="L781" s="152">
        <v>0</v>
      </c>
      <c r="M781" s="152"/>
      <c r="N781" s="402">
        <f t="shared" si="225"/>
        <v>0</v>
      </c>
      <c r="O781" s="402">
        <f t="shared" si="226"/>
        <v>0</v>
      </c>
      <c r="P781" s="403"/>
      <c r="Q781" s="152">
        <f t="shared" si="222"/>
        <v>0</v>
      </c>
      <c r="R781" s="152">
        <f t="shared" si="222"/>
        <v>0</v>
      </c>
      <c r="S781" s="402">
        <f t="shared" si="227"/>
        <v>0</v>
      </c>
      <c r="T781" s="404">
        <f t="shared" si="228"/>
        <v>0</v>
      </c>
      <c r="U781" s="403"/>
      <c r="W781" s="43" t="str">
        <f t="shared" si="220"/>
        <v/>
      </c>
      <c r="X781" s="43" t="str">
        <f t="shared" si="212"/>
        <v/>
      </c>
      <c r="Y781" s="43" t="str">
        <f t="shared" si="195"/>
        <v/>
      </c>
    </row>
    <row r="782" spans="1:25" hidden="1">
      <c r="A782" s="155">
        <v>844</v>
      </c>
      <c r="B782" s="156" t="s">
        <v>591</v>
      </c>
      <c r="C782" s="411" t="s">
        <v>852</v>
      </c>
      <c r="D782" s="351"/>
      <c r="E782" s="405"/>
      <c r="F782" s="406"/>
      <c r="G782" s="158"/>
      <c r="H782" s="465">
        <v>45.23</v>
      </c>
      <c r="I782" s="465">
        <f t="shared" si="223"/>
        <v>45.23</v>
      </c>
      <c r="J782" s="407">
        <f t="shared" si="224"/>
        <v>57.35</v>
      </c>
      <c r="K782" s="408" t="s">
        <v>23</v>
      </c>
      <c r="L782" s="152">
        <v>0</v>
      </c>
      <c r="M782" s="152"/>
      <c r="N782" s="402">
        <f t="shared" si="225"/>
        <v>0</v>
      </c>
      <c r="O782" s="402">
        <f t="shared" si="226"/>
        <v>0</v>
      </c>
      <c r="P782" s="403"/>
      <c r="Q782" s="152">
        <f t="shared" si="222"/>
        <v>0</v>
      </c>
      <c r="R782" s="152">
        <f t="shared" si="222"/>
        <v>0</v>
      </c>
      <c r="S782" s="402">
        <f t="shared" si="227"/>
        <v>0</v>
      </c>
      <c r="T782" s="404">
        <f t="shared" si="228"/>
        <v>0</v>
      </c>
      <c r="U782" s="403"/>
      <c r="W782" s="43" t="str">
        <f t="shared" si="220"/>
        <v/>
      </c>
      <c r="X782" s="43" t="str">
        <f t="shared" si="212"/>
        <v/>
      </c>
      <c r="Y782" s="43" t="str">
        <f t="shared" si="195"/>
        <v/>
      </c>
    </row>
    <row r="783" spans="1:25" hidden="1">
      <c r="A783" s="155">
        <v>845</v>
      </c>
      <c r="B783" s="156" t="s">
        <v>591</v>
      </c>
      <c r="C783" s="411" t="s">
        <v>853</v>
      </c>
      <c r="D783" s="351"/>
      <c r="E783" s="405"/>
      <c r="F783" s="406"/>
      <c r="G783" s="158"/>
      <c r="H783" s="465">
        <v>6.85</v>
      </c>
      <c r="I783" s="465">
        <f t="shared" si="223"/>
        <v>6.85</v>
      </c>
      <c r="J783" s="407">
        <f t="shared" si="224"/>
        <v>8.69</v>
      </c>
      <c r="K783" s="408" t="s">
        <v>23</v>
      </c>
      <c r="L783" s="152">
        <v>0</v>
      </c>
      <c r="M783" s="152"/>
      <c r="N783" s="402">
        <f t="shared" si="225"/>
        <v>0</v>
      </c>
      <c r="O783" s="402">
        <f t="shared" si="226"/>
        <v>0</v>
      </c>
      <c r="P783" s="403"/>
      <c r="Q783" s="152">
        <f t="shared" si="222"/>
        <v>0</v>
      </c>
      <c r="R783" s="152">
        <f t="shared" si="222"/>
        <v>0</v>
      </c>
      <c r="S783" s="402">
        <f t="shared" si="227"/>
        <v>0</v>
      </c>
      <c r="T783" s="404">
        <f t="shared" si="228"/>
        <v>0</v>
      </c>
      <c r="U783" s="403"/>
      <c r="W783" s="43" t="str">
        <f t="shared" si="220"/>
        <v/>
      </c>
      <c r="X783" s="43" t="str">
        <f t="shared" si="212"/>
        <v/>
      </c>
      <c r="Y783" s="43" t="str">
        <f t="shared" si="195"/>
        <v/>
      </c>
    </row>
    <row r="784" spans="1:25" hidden="1">
      <c r="A784" s="155" t="s">
        <v>840</v>
      </c>
      <c r="B784" s="156" t="s">
        <v>591</v>
      </c>
      <c r="C784" s="411" t="s">
        <v>854</v>
      </c>
      <c r="D784" s="351"/>
      <c r="E784" s="405"/>
      <c r="F784" s="406"/>
      <c r="G784" s="158"/>
      <c r="H784" s="465">
        <v>2.74</v>
      </c>
      <c r="I784" s="465">
        <f t="shared" si="223"/>
        <v>2.74</v>
      </c>
      <c r="J784" s="407">
        <f t="shared" si="224"/>
        <v>3.47</v>
      </c>
      <c r="K784" s="408" t="s">
        <v>23</v>
      </c>
      <c r="L784" s="152">
        <v>0</v>
      </c>
      <c r="M784" s="152"/>
      <c r="N784" s="402">
        <f t="shared" si="225"/>
        <v>0</v>
      </c>
      <c r="O784" s="402">
        <f t="shared" si="226"/>
        <v>0</v>
      </c>
      <c r="P784" s="403"/>
      <c r="Q784" s="152">
        <f t="shared" si="222"/>
        <v>0</v>
      </c>
      <c r="R784" s="152">
        <f t="shared" si="222"/>
        <v>0</v>
      </c>
      <c r="S784" s="402">
        <f t="shared" si="227"/>
        <v>0</v>
      </c>
      <c r="T784" s="404">
        <f t="shared" si="228"/>
        <v>0</v>
      </c>
      <c r="U784" s="403"/>
      <c r="W784" s="43" t="str">
        <f t="shared" si="220"/>
        <v/>
      </c>
      <c r="X784" s="43" t="str">
        <f t="shared" si="212"/>
        <v/>
      </c>
      <c r="Y784" s="43" t="str">
        <f t="shared" si="195"/>
        <v/>
      </c>
    </row>
    <row r="785" spans="1:25" hidden="1">
      <c r="A785" s="155">
        <v>846</v>
      </c>
      <c r="B785" s="156" t="s">
        <v>591</v>
      </c>
      <c r="C785" s="411" t="s">
        <v>855</v>
      </c>
      <c r="D785" s="351"/>
      <c r="E785" s="405"/>
      <c r="F785" s="406"/>
      <c r="G785" s="158"/>
      <c r="H785" s="465">
        <v>6.85</v>
      </c>
      <c r="I785" s="465">
        <f t="shared" si="223"/>
        <v>6.85</v>
      </c>
      <c r="J785" s="407">
        <f t="shared" si="224"/>
        <v>8.69</v>
      </c>
      <c r="K785" s="408" t="s">
        <v>23</v>
      </c>
      <c r="L785" s="152">
        <v>0</v>
      </c>
      <c r="M785" s="152"/>
      <c r="N785" s="402">
        <f t="shared" si="225"/>
        <v>0</v>
      </c>
      <c r="O785" s="402">
        <f t="shared" si="226"/>
        <v>0</v>
      </c>
      <c r="P785" s="403"/>
      <c r="Q785" s="152">
        <f t="shared" si="222"/>
        <v>0</v>
      </c>
      <c r="R785" s="152">
        <f t="shared" si="222"/>
        <v>0</v>
      </c>
      <c r="S785" s="402">
        <f t="shared" si="227"/>
        <v>0</v>
      </c>
      <c r="T785" s="404">
        <f t="shared" si="228"/>
        <v>0</v>
      </c>
      <c r="U785" s="403"/>
      <c r="W785" s="43" t="str">
        <f t="shared" si="220"/>
        <v/>
      </c>
      <c r="X785" s="43" t="str">
        <f t="shared" si="212"/>
        <v/>
      </c>
      <c r="Y785" s="43" t="str">
        <f t="shared" si="195"/>
        <v/>
      </c>
    </row>
    <row r="786" spans="1:25" hidden="1">
      <c r="A786" s="155">
        <v>859</v>
      </c>
      <c r="B786" s="156" t="s">
        <v>591</v>
      </c>
      <c r="C786" s="411" t="s">
        <v>856</v>
      </c>
      <c r="D786" s="351"/>
      <c r="E786" s="405"/>
      <c r="F786" s="406"/>
      <c r="G786" s="158"/>
      <c r="H786" s="465">
        <v>148.69999999999999</v>
      </c>
      <c r="I786" s="465">
        <f t="shared" si="223"/>
        <v>148.69999999999999</v>
      </c>
      <c r="J786" s="407">
        <f t="shared" si="224"/>
        <v>188.55</v>
      </c>
      <c r="K786" s="408" t="s">
        <v>23</v>
      </c>
      <c r="L786" s="152">
        <v>0</v>
      </c>
      <c r="M786" s="152"/>
      <c r="N786" s="402">
        <f t="shared" si="225"/>
        <v>0</v>
      </c>
      <c r="O786" s="402">
        <f t="shared" si="226"/>
        <v>0</v>
      </c>
      <c r="P786" s="403"/>
      <c r="Q786" s="152">
        <f t="shared" ref="Q786:R842" si="229">L786</f>
        <v>0</v>
      </c>
      <c r="R786" s="152">
        <f t="shared" si="229"/>
        <v>0</v>
      </c>
      <c r="S786" s="402">
        <f t="shared" si="227"/>
        <v>0</v>
      </c>
      <c r="T786" s="404">
        <f t="shared" si="228"/>
        <v>0</v>
      </c>
      <c r="U786" s="403"/>
      <c r="W786" s="43" t="str">
        <f t="shared" si="220"/>
        <v/>
      </c>
      <c r="X786" s="43" t="str">
        <f t="shared" si="212"/>
        <v/>
      </c>
      <c r="Y786" s="43" t="str">
        <f t="shared" si="195"/>
        <v/>
      </c>
    </row>
    <row r="787" spans="1:25" hidden="1">
      <c r="A787" s="155" t="s">
        <v>842</v>
      </c>
      <c r="B787" s="156" t="s">
        <v>591</v>
      </c>
      <c r="C787" s="411" t="s">
        <v>857</v>
      </c>
      <c r="D787" s="351"/>
      <c r="E787" s="405"/>
      <c r="F787" s="406"/>
      <c r="G787" s="158"/>
      <c r="H787" s="465">
        <v>59.62</v>
      </c>
      <c r="I787" s="465">
        <f t="shared" si="223"/>
        <v>59.62</v>
      </c>
      <c r="J787" s="407">
        <f t="shared" si="224"/>
        <v>75.599999999999994</v>
      </c>
      <c r="K787" s="408" t="s">
        <v>23</v>
      </c>
      <c r="L787" s="152">
        <v>0</v>
      </c>
      <c r="M787" s="152"/>
      <c r="N787" s="402">
        <f t="shared" si="225"/>
        <v>0</v>
      </c>
      <c r="O787" s="402">
        <f t="shared" si="226"/>
        <v>0</v>
      </c>
      <c r="P787" s="403"/>
      <c r="Q787" s="152">
        <f t="shared" si="229"/>
        <v>0</v>
      </c>
      <c r="R787" s="152">
        <f t="shared" si="229"/>
        <v>0</v>
      </c>
      <c r="S787" s="402">
        <f t="shared" si="227"/>
        <v>0</v>
      </c>
      <c r="T787" s="404">
        <f t="shared" si="228"/>
        <v>0</v>
      </c>
      <c r="U787" s="403"/>
      <c r="W787" s="43" t="str">
        <f t="shared" si="220"/>
        <v/>
      </c>
      <c r="X787" s="43" t="str">
        <f t="shared" si="212"/>
        <v/>
      </c>
      <c r="Y787" s="43" t="str">
        <f t="shared" si="195"/>
        <v/>
      </c>
    </row>
    <row r="788" spans="1:25" ht="38.25" hidden="1">
      <c r="A788" s="155" t="s">
        <v>865</v>
      </c>
      <c r="B788" s="156" t="s">
        <v>241</v>
      </c>
      <c r="C788" s="411" t="s">
        <v>906</v>
      </c>
      <c r="D788" s="351"/>
      <c r="E788" s="405"/>
      <c r="F788" s="406"/>
      <c r="G788" s="158"/>
      <c r="H788" s="465">
        <v>8.06</v>
      </c>
      <c r="I788" s="465">
        <f t="shared" si="223"/>
        <v>8.06</v>
      </c>
      <c r="J788" s="407">
        <f t="shared" si="224"/>
        <v>10.220000000000001</v>
      </c>
      <c r="K788" s="408" t="s">
        <v>23</v>
      </c>
      <c r="L788" s="152">
        <v>0</v>
      </c>
      <c r="M788" s="152"/>
      <c r="N788" s="402">
        <f t="shared" si="225"/>
        <v>0</v>
      </c>
      <c r="O788" s="402">
        <f t="shared" si="226"/>
        <v>0</v>
      </c>
      <c r="P788" s="403"/>
      <c r="Q788" s="152">
        <f t="shared" si="229"/>
        <v>0</v>
      </c>
      <c r="R788" s="152">
        <f t="shared" si="229"/>
        <v>0</v>
      </c>
      <c r="S788" s="402">
        <f t="shared" si="227"/>
        <v>0</v>
      </c>
      <c r="T788" s="404">
        <f t="shared" si="228"/>
        <v>0</v>
      </c>
      <c r="U788" s="403"/>
      <c r="W788" s="43" t="str">
        <f t="shared" si="220"/>
        <v/>
      </c>
      <c r="X788" s="43" t="str">
        <f t="shared" si="212"/>
        <v/>
      </c>
      <c r="Y788" s="43" t="str">
        <f t="shared" si="195"/>
        <v/>
      </c>
    </row>
    <row r="789" spans="1:25" ht="25.5" hidden="1">
      <c r="A789" s="155" t="s">
        <v>866</v>
      </c>
      <c r="B789" s="156" t="s">
        <v>241</v>
      </c>
      <c r="C789" s="411" t="s">
        <v>907</v>
      </c>
      <c r="D789" s="351"/>
      <c r="E789" s="405"/>
      <c r="F789" s="406"/>
      <c r="G789" s="158"/>
      <c r="H789" s="465">
        <v>9.15</v>
      </c>
      <c r="I789" s="465">
        <f t="shared" si="223"/>
        <v>9.15</v>
      </c>
      <c r="J789" s="407">
        <f t="shared" si="224"/>
        <v>11.6</v>
      </c>
      <c r="K789" s="408" t="s">
        <v>23</v>
      </c>
      <c r="L789" s="152">
        <v>0</v>
      </c>
      <c r="M789" s="152"/>
      <c r="N789" s="402">
        <f t="shared" si="225"/>
        <v>0</v>
      </c>
      <c r="O789" s="402">
        <f t="shared" si="226"/>
        <v>0</v>
      </c>
      <c r="P789" s="403"/>
      <c r="Q789" s="152">
        <f t="shared" si="229"/>
        <v>0</v>
      </c>
      <c r="R789" s="152">
        <f t="shared" si="229"/>
        <v>0</v>
      </c>
      <c r="S789" s="402">
        <f t="shared" si="227"/>
        <v>0</v>
      </c>
      <c r="T789" s="404">
        <f t="shared" si="228"/>
        <v>0</v>
      </c>
      <c r="U789" s="403"/>
      <c r="W789" s="43" t="str">
        <f t="shared" si="220"/>
        <v/>
      </c>
      <c r="X789" s="43" t="str">
        <f t="shared" si="212"/>
        <v/>
      </c>
      <c r="Y789" s="43" t="str">
        <f t="shared" si="195"/>
        <v/>
      </c>
    </row>
    <row r="790" spans="1:25" ht="25.5" hidden="1">
      <c r="A790" s="155" t="s">
        <v>867</v>
      </c>
      <c r="B790" s="156" t="s">
        <v>241</v>
      </c>
      <c r="C790" s="411" t="s">
        <v>908</v>
      </c>
      <c r="D790" s="351"/>
      <c r="E790" s="405"/>
      <c r="F790" s="406"/>
      <c r="G790" s="158"/>
      <c r="H790" s="465">
        <v>6.68</v>
      </c>
      <c r="I790" s="465">
        <f t="shared" si="223"/>
        <v>6.68</v>
      </c>
      <c r="J790" s="407">
        <f t="shared" si="224"/>
        <v>8.4700000000000006</v>
      </c>
      <c r="K790" s="408" t="s">
        <v>23</v>
      </c>
      <c r="L790" s="152">
        <v>0</v>
      </c>
      <c r="M790" s="152"/>
      <c r="N790" s="402">
        <f t="shared" si="225"/>
        <v>0</v>
      </c>
      <c r="O790" s="402">
        <f t="shared" si="226"/>
        <v>0</v>
      </c>
      <c r="P790" s="403"/>
      <c r="Q790" s="152">
        <f t="shared" si="229"/>
        <v>0</v>
      </c>
      <c r="R790" s="152">
        <f t="shared" si="229"/>
        <v>0</v>
      </c>
      <c r="S790" s="402">
        <f t="shared" si="227"/>
        <v>0</v>
      </c>
      <c r="T790" s="404">
        <f t="shared" si="228"/>
        <v>0</v>
      </c>
      <c r="U790" s="403"/>
      <c r="W790" s="43" t="str">
        <f t="shared" si="220"/>
        <v/>
      </c>
      <c r="X790" s="43" t="str">
        <f t="shared" si="212"/>
        <v/>
      </c>
      <c r="Y790" s="43" t="str">
        <f t="shared" si="195"/>
        <v/>
      </c>
    </row>
    <row r="791" spans="1:25" ht="25.5" hidden="1">
      <c r="A791" s="155" t="s">
        <v>868</v>
      </c>
      <c r="B791" s="156" t="s">
        <v>241</v>
      </c>
      <c r="C791" s="411" t="s">
        <v>909</v>
      </c>
      <c r="D791" s="351"/>
      <c r="E791" s="405"/>
      <c r="F791" s="406"/>
      <c r="G791" s="158"/>
      <c r="H791" s="465">
        <v>4.43</v>
      </c>
      <c r="I791" s="465">
        <f t="shared" si="223"/>
        <v>4.43</v>
      </c>
      <c r="J791" s="407">
        <f t="shared" si="224"/>
        <v>5.62</v>
      </c>
      <c r="K791" s="408" t="s">
        <v>23</v>
      </c>
      <c r="L791" s="152">
        <v>0</v>
      </c>
      <c r="M791" s="152"/>
      <c r="N791" s="402">
        <f t="shared" si="225"/>
        <v>0</v>
      </c>
      <c r="O791" s="402">
        <f t="shared" si="226"/>
        <v>0</v>
      </c>
      <c r="P791" s="403"/>
      <c r="Q791" s="152">
        <f t="shared" si="229"/>
        <v>0</v>
      </c>
      <c r="R791" s="152">
        <f t="shared" si="229"/>
        <v>0</v>
      </c>
      <c r="S791" s="402">
        <f t="shared" si="227"/>
        <v>0</v>
      </c>
      <c r="T791" s="404">
        <f t="shared" si="228"/>
        <v>0</v>
      </c>
      <c r="U791" s="403"/>
      <c r="W791" s="43" t="str">
        <f t="shared" si="220"/>
        <v/>
      </c>
      <c r="X791" s="43" t="str">
        <f t="shared" si="212"/>
        <v/>
      </c>
      <c r="Y791" s="43" t="str">
        <f t="shared" si="195"/>
        <v/>
      </c>
    </row>
    <row r="792" spans="1:25" ht="25.5" hidden="1">
      <c r="A792" s="155" t="s">
        <v>869</v>
      </c>
      <c r="B792" s="156" t="s">
        <v>241</v>
      </c>
      <c r="C792" s="411" t="s">
        <v>910</v>
      </c>
      <c r="D792" s="351"/>
      <c r="E792" s="405"/>
      <c r="F792" s="406"/>
      <c r="G792" s="158"/>
      <c r="H792" s="465">
        <v>4.07</v>
      </c>
      <c r="I792" s="465">
        <f t="shared" si="223"/>
        <v>4.07</v>
      </c>
      <c r="J792" s="407">
        <f t="shared" si="224"/>
        <v>5.16</v>
      </c>
      <c r="K792" s="408" t="s">
        <v>23</v>
      </c>
      <c r="L792" s="152">
        <v>0</v>
      </c>
      <c r="M792" s="152"/>
      <c r="N792" s="402">
        <f t="shared" si="225"/>
        <v>0</v>
      </c>
      <c r="O792" s="402">
        <f t="shared" si="226"/>
        <v>0</v>
      </c>
      <c r="P792" s="403"/>
      <c r="Q792" s="152">
        <f t="shared" si="229"/>
        <v>0</v>
      </c>
      <c r="R792" s="152">
        <f t="shared" si="229"/>
        <v>0</v>
      </c>
      <c r="S792" s="402">
        <f t="shared" si="227"/>
        <v>0</v>
      </c>
      <c r="T792" s="404">
        <f t="shared" si="228"/>
        <v>0</v>
      </c>
      <c r="U792" s="403"/>
      <c r="W792" s="43" t="str">
        <f t="shared" si="220"/>
        <v/>
      </c>
      <c r="X792" s="43" t="str">
        <f t="shared" si="212"/>
        <v/>
      </c>
      <c r="Y792" s="43" t="str">
        <f t="shared" si="195"/>
        <v/>
      </c>
    </row>
    <row r="793" spans="1:25" ht="25.5" hidden="1">
      <c r="A793" s="155">
        <v>88544</v>
      </c>
      <c r="B793" s="156" t="s">
        <v>241</v>
      </c>
      <c r="C793" s="411" t="s">
        <v>911</v>
      </c>
      <c r="D793" s="351"/>
      <c r="E793" s="405"/>
      <c r="F793" s="406"/>
      <c r="G793" s="158"/>
      <c r="H793" s="465">
        <v>80.36</v>
      </c>
      <c r="I793" s="465">
        <f t="shared" si="223"/>
        <v>80.36</v>
      </c>
      <c r="J793" s="407">
        <f t="shared" si="224"/>
        <v>101.9</v>
      </c>
      <c r="K793" s="408" t="s">
        <v>23</v>
      </c>
      <c r="L793" s="152">
        <v>0</v>
      </c>
      <c r="M793" s="152"/>
      <c r="N793" s="402">
        <f t="shared" si="225"/>
        <v>0</v>
      </c>
      <c r="O793" s="402">
        <f t="shared" si="226"/>
        <v>0</v>
      </c>
      <c r="P793" s="403"/>
      <c r="Q793" s="152">
        <f t="shared" si="229"/>
        <v>0</v>
      </c>
      <c r="R793" s="152">
        <f t="shared" si="229"/>
        <v>0</v>
      </c>
      <c r="S793" s="402">
        <f t="shared" si="227"/>
        <v>0</v>
      </c>
      <c r="T793" s="404">
        <f t="shared" si="228"/>
        <v>0</v>
      </c>
      <c r="U793" s="403"/>
      <c r="W793" s="43" t="str">
        <f t="shared" si="220"/>
        <v/>
      </c>
      <c r="X793" s="43" t="str">
        <f t="shared" si="212"/>
        <v/>
      </c>
      <c r="Y793" s="43" t="str">
        <f t="shared" si="195"/>
        <v/>
      </c>
    </row>
    <row r="794" spans="1:25" ht="25.5" hidden="1">
      <c r="A794" s="155">
        <v>88545</v>
      </c>
      <c r="B794" s="156" t="s">
        <v>241</v>
      </c>
      <c r="C794" s="411" t="s">
        <v>912</v>
      </c>
      <c r="D794" s="351"/>
      <c r="E794" s="405"/>
      <c r="F794" s="406"/>
      <c r="G794" s="158"/>
      <c r="H794" s="465">
        <v>143.32</v>
      </c>
      <c r="I794" s="465">
        <f t="shared" si="223"/>
        <v>143.32</v>
      </c>
      <c r="J794" s="407">
        <f t="shared" si="224"/>
        <v>181.73</v>
      </c>
      <c r="K794" s="408" t="s">
        <v>23</v>
      </c>
      <c r="L794" s="152">
        <v>0</v>
      </c>
      <c r="M794" s="152"/>
      <c r="N794" s="402">
        <f t="shared" si="225"/>
        <v>0</v>
      </c>
      <c r="O794" s="402">
        <f t="shared" si="226"/>
        <v>0</v>
      </c>
      <c r="P794" s="403"/>
      <c r="Q794" s="152">
        <f t="shared" si="229"/>
        <v>0</v>
      </c>
      <c r="R794" s="152">
        <f t="shared" si="229"/>
        <v>0</v>
      </c>
      <c r="S794" s="402">
        <f t="shared" si="227"/>
        <v>0</v>
      </c>
      <c r="T794" s="404">
        <f t="shared" si="228"/>
        <v>0</v>
      </c>
      <c r="U794" s="403"/>
      <c r="W794" s="43" t="str">
        <f t="shared" si="220"/>
        <v/>
      </c>
      <c r="X794" s="43" t="str">
        <f t="shared" si="212"/>
        <v/>
      </c>
      <c r="Y794" s="43" t="str">
        <f t="shared" si="195"/>
        <v/>
      </c>
    </row>
    <row r="795" spans="1:25" ht="25.5" hidden="1">
      <c r="A795" s="155">
        <v>88543</v>
      </c>
      <c r="B795" s="156" t="s">
        <v>241</v>
      </c>
      <c r="C795" s="411" t="s">
        <v>913</v>
      </c>
      <c r="D795" s="351"/>
      <c r="E795" s="405"/>
      <c r="F795" s="406"/>
      <c r="G795" s="158"/>
      <c r="H795" s="465">
        <v>122.76</v>
      </c>
      <c r="I795" s="465">
        <f t="shared" si="223"/>
        <v>122.76</v>
      </c>
      <c r="J795" s="407">
        <f t="shared" si="224"/>
        <v>155.66</v>
      </c>
      <c r="K795" s="408" t="s">
        <v>23</v>
      </c>
      <c r="L795" s="152">
        <v>0</v>
      </c>
      <c r="M795" s="152"/>
      <c r="N795" s="402">
        <f t="shared" si="225"/>
        <v>0</v>
      </c>
      <c r="O795" s="402">
        <f t="shared" si="226"/>
        <v>0</v>
      </c>
      <c r="P795" s="403"/>
      <c r="Q795" s="152">
        <f t="shared" si="229"/>
        <v>0</v>
      </c>
      <c r="R795" s="152">
        <f t="shared" si="229"/>
        <v>0</v>
      </c>
      <c r="S795" s="402">
        <f t="shared" si="227"/>
        <v>0</v>
      </c>
      <c r="T795" s="404">
        <f t="shared" si="228"/>
        <v>0</v>
      </c>
      <c r="U795" s="403"/>
      <c r="W795" s="43" t="str">
        <f t="shared" si="220"/>
        <v/>
      </c>
      <c r="X795" s="43" t="str">
        <f t="shared" si="212"/>
        <v/>
      </c>
      <c r="Y795" s="43" t="str">
        <f t="shared" si="195"/>
        <v/>
      </c>
    </row>
    <row r="796" spans="1:25" hidden="1">
      <c r="A796" s="155">
        <v>73624</v>
      </c>
      <c r="B796" s="156" t="s">
        <v>241</v>
      </c>
      <c r="C796" s="411" t="s">
        <v>914</v>
      </c>
      <c r="D796" s="351"/>
      <c r="E796" s="405"/>
      <c r="F796" s="406"/>
      <c r="G796" s="158"/>
      <c r="H796" s="465">
        <v>78.27</v>
      </c>
      <c r="I796" s="465">
        <f t="shared" si="223"/>
        <v>78.27</v>
      </c>
      <c r="J796" s="407">
        <f t="shared" si="224"/>
        <v>99.25</v>
      </c>
      <c r="K796" s="408" t="s">
        <v>23</v>
      </c>
      <c r="L796" s="152">
        <v>0</v>
      </c>
      <c r="M796" s="152"/>
      <c r="N796" s="402">
        <f t="shared" si="225"/>
        <v>0</v>
      </c>
      <c r="O796" s="402">
        <f t="shared" si="226"/>
        <v>0</v>
      </c>
      <c r="P796" s="403"/>
      <c r="Q796" s="152">
        <f t="shared" si="229"/>
        <v>0</v>
      </c>
      <c r="R796" s="152">
        <f t="shared" si="229"/>
        <v>0</v>
      </c>
      <c r="S796" s="402">
        <f t="shared" si="227"/>
        <v>0</v>
      </c>
      <c r="T796" s="404">
        <f t="shared" si="228"/>
        <v>0</v>
      </c>
      <c r="U796" s="403"/>
      <c r="W796" s="43" t="str">
        <f t="shared" si="220"/>
        <v/>
      </c>
      <c r="X796" s="43" t="str">
        <f t="shared" si="212"/>
        <v/>
      </c>
      <c r="Y796" s="43" t="str">
        <f t="shared" si="195"/>
        <v/>
      </c>
    </row>
    <row r="797" spans="1:25" ht="25.5" hidden="1">
      <c r="A797" s="155" t="s">
        <v>870</v>
      </c>
      <c r="B797" s="156" t="s">
        <v>241</v>
      </c>
      <c r="C797" s="411" t="s">
        <v>915</v>
      </c>
      <c r="D797" s="351"/>
      <c r="E797" s="405"/>
      <c r="F797" s="406"/>
      <c r="G797" s="158"/>
      <c r="H797" s="465">
        <v>529.45000000000005</v>
      </c>
      <c r="I797" s="465">
        <f t="shared" si="223"/>
        <v>529.45000000000005</v>
      </c>
      <c r="J797" s="407">
        <f t="shared" si="224"/>
        <v>671.34</v>
      </c>
      <c r="K797" s="408" t="s">
        <v>23</v>
      </c>
      <c r="L797" s="152">
        <v>0</v>
      </c>
      <c r="M797" s="152"/>
      <c r="N797" s="402">
        <f t="shared" si="225"/>
        <v>0</v>
      </c>
      <c r="O797" s="402">
        <f t="shared" si="226"/>
        <v>0</v>
      </c>
      <c r="P797" s="403"/>
      <c r="Q797" s="152">
        <f t="shared" si="229"/>
        <v>0</v>
      </c>
      <c r="R797" s="152">
        <f t="shared" si="229"/>
        <v>0</v>
      </c>
      <c r="S797" s="402">
        <f t="shared" si="227"/>
        <v>0</v>
      </c>
      <c r="T797" s="404">
        <f t="shared" si="228"/>
        <v>0</v>
      </c>
      <c r="U797" s="403"/>
      <c r="W797" s="43" t="str">
        <f t="shared" si="220"/>
        <v/>
      </c>
      <c r="X797" s="43" t="str">
        <f t="shared" si="212"/>
        <v/>
      </c>
      <c r="Y797" s="43" t="str">
        <f t="shared" si="195"/>
        <v/>
      </c>
    </row>
    <row r="798" spans="1:25" ht="25.5" hidden="1">
      <c r="A798" s="155" t="s">
        <v>871</v>
      </c>
      <c r="B798" s="156" t="s">
        <v>241</v>
      </c>
      <c r="C798" s="411" t="s">
        <v>916</v>
      </c>
      <c r="D798" s="351"/>
      <c r="E798" s="405"/>
      <c r="F798" s="406"/>
      <c r="G798" s="158"/>
      <c r="H798" s="465">
        <v>7141.68</v>
      </c>
      <c r="I798" s="465">
        <f t="shared" si="223"/>
        <v>7141.68</v>
      </c>
      <c r="J798" s="407">
        <f t="shared" si="224"/>
        <v>9055.65</v>
      </c>
      <c r="K798" s="408" t="s">
        <v>23</v>
      </c>
      <c r="L798" s="152">
        <v>0</v>
      </c>
      <c r="M798" s="152"/>
      <c r="N798" s="402">
        <f t="shared" si="225"/>
        <v>0</v>
      </c>
      <c r="O798" s="402">
        <f t="shared" si="226"/>
        <v>0</v>
      </c>
      <c r="P798" s="403"/>
      <c r="Q798" s="152">
        <f t="shared" si="229"/>
        <v>0</v>
      </c>
      <c r="R798" s="152">
        <f t="shared" si="229"/>
        <v>0</v>
      </c>
      <c r="S798" s="402">
        <f t="shared" si="227"/>
        <v>0</v>
      </c>
      <c r="T798" s="404">
        <f t="shared" si="228"/>
        <v>0</v>
      </c>
      <c r="U798" s="403"/>
      <c r="W798" s="43" t="str">
        <f t="shared" si="220"/>
        <v/>
      </c>
      <c r="X798" s="43" t="str">
        <f t="shared" si="212"/>
        <v/>
      </c>
      <c r="Y798" s="43" t="str">
        <f t="shared" si="195"/>
        <v/>
      </c>
    </row>
    <row r="799" spans="1:25" ht="25.5" hidden="1">
      <c r="A799" s="155" t="s">
        <v>872</v>
      </c>
      <c r="B799" s="156" t="s">
        <v>241</v>
      </c>
      <c r="C799" s="411" t="s">
        <v>917</v>
      </c>
      <c r="D799" s="351"/>
      <c r="E799" s="405"/>
      <c r="F799" s="406"/>
      <c r="G799" s="158"/>
      <c r="H799" s="465">
        <v>8825.52</v>
      </c>
      <c r="I799" s="465">
        <f t="shared" si="223"/>
        <v>8825.52</v>
      </c>
      <c r="J799" s="407">
        <f t="shared" si="224"/>
        <v>11190.76</v>
      </c>
      <c r="K799" s="408" t="s">
        <v>23</v>
      </c>
      <c r="L799" s="152">
        <v>0</v>
      </c>
      <c r="M799" s="152"/>
      <c r="N799" s="402">
        <f t="shared" si="225"/>
        <v>0</v>
      </c>
      <c r="O799" s="402">
        <f t="shared" si="226"/>
        <v>0</v>
      </c>
      <c r="P799" s="403"/>
      <c r="Q799" s="152">
        <f t="shared" si="229"/>
        <v>0</v>
      </c>
      <c r="R799" s="152">
        <f t="shared" si="229"/>
        <v>0</v>
      </c>
      <c r="S799" s="402">
        <f t="shared" si="227"/>
        <v>0</v>
      </c>
      <c r="T799" s="404">
        <f t="shared" si="228"/>
        <v>0</v>
      </c>
      <c r="U799" s="403"/>
      <c r="W799" s="43" t="str">
        <f t="shared" si="220"/>
        <v/>
      </c>
      <c r="X799" s="43" t="str">
        <f t="shared" si="212"/>
        <v/>
      </c>
      <c r="Y799" s="43" t="str">
        <f t="shared" si="195"/>
        <v/>
      </c>
    </row>
    <row r="800" spans="1:25" ht="25.5" hidden="1">
      <c r="A800" s="155" t="s">
        <v>873</v>
      </c>
      <c r="B800" s="156" t="s">
        <v>241</v>
      </c>
      <c r="C800" s="411" t="s">
        <v>918</v>
      </c>
      <c r="D800" s="351"/>
      <c r="E800" s="405"/>
      <c r="F800" s="406"/>
      <c r="G800" s="158"/>
      <c r="H800" s="465">
        <v>11125.41</v>
      </c>
      <c r="I800" s="465">
        <f t="shared" si="223"/>
        <v>11125.41</v>
      </c>
      <c r="J800" s="407">
        <f t="shared" si="224"/>
        <v>14107.02</v>
      </c>
      <c r="K800" s="408" t="s">
        <v>23</v>
      </c>
      <c r="L800" s="152">
        <v>0</v>
      </c>
      <c r="M800" s="152"/>
      <c r="N800" s="402">
        <f t="shared" si="225"/>
        <v>0</v>
      </c>
      <c r="O800" s="402">
        <f t="shared" si="226"/>
        <v>0</v>
      </c>
      <c r="P800" s="403"/>
      <c r="Q800" s="152">
        <f t="shared" si="229"/>
        <v>0</v>
      </c>
      <c r="R800" s="152">
        <f t="shared" si="229"/>
        <v>0</v>
      </c>
      <c r="S800" s="402">
        <f t="shared" si="227"/>
        <v>0</v>
      </c>
      <c r="T800" s="404">
        <f t="shared" si="228"/>
        <v>0</v>
      </c>
      <c r="U800" s="403"/>
      <c r="W800" s="43" t="str">
        <f t="shared" si="220"/>
        <v/>
      </c>
      <c r="X800" s="43" t="str">
        <f t="shared" si="212"/>
        <v/>
      </c>
      <c r="Y800" s="43" t="str">
        <f t="shared" si="195"/>
        <v/>
      </c>
    </row>
    <row r="801" spans="1:25" ht="25.5" hidden="1">
      <c r="A801" s="155" t="s">
        <v>874</v>
      </c>
      <c r="B801" s="156" t="s">
        <v>241</v>
      </c>
      <c r="C801" s="411" t="s">
        <v>919</v>
      </c>
      <c r="D801" s="351"/>
      <c r="E801" s="405"/>
      <c r="F801" s="406"/>
      <c r="G801" s="158"/>
      <c r="H801" s="465">
        <v>15581.02</v>
      </c>
      <c r="I801" s="465">
        <f t="shared" si="223"/>
        <v>15581.02</v>
      </c>
      <c r="J801" s="407">
        <f t="shared" si="224"/>
        <v>19756.73</v>
      </c>
      <c r="K801" s="408" t="s">
        <v>23</v>
      </c>
      <c r="L801" s="152">
        <v>0</v>
      </c>
      <c r="M801" s="152"/>
      <c r="N801" s="402">
        <f t="shared" si="225"/>
        <v>0</v>
      </c>
      <c r="O801" s="402">
        <f t="shared" si="226"/>
        <v>0</v>
      </c>
      <c r="P801" s="403"/>
      <c r="Q801" s="152">
        <f t="shared" si="229"/>
        <v>0</v>
      </c>
      <c r="R801" s="152">
        <f t="shared" si="229"/>
        <v>0</v>
      </c>
      <c r="S801" s="402">
        <f t="shared" si="227"/>
        <v>0</v>
      </c>
      <c r="T801" s="404">
        <f t="shared" si="228"/>
        <v>0</v>
      </c>
      <c r="U801" s="403"/>
      <c r="W801" s="43" t="str">
        <f t="shared" si="220"/>
        <v/>
      </c>
      <c r="X801" s="43" t="str">
        <f t="shared" si="212"/>
        <v/>
      </c>
      <c r="Y801" s="43" t="str">
        <f t="shared" si="195"/>
        <v/>
      </c>
    </row>
    <row r="802" spans="1:25" ht="25.5" hidden="1">
      <c r="A802" s="155" t="s">
        <v>875</v>
      </c>
      <c r="B802" s="156" t="s">
        <v>241</v>
      </c>
      <c r="C802" s="411" t="s">
        <v>920</v>
      </c>
      <c r="D802" s="351"/>
      <c r="E802" s="405"/>
      <c r="F802" s="406"/>
      <c r="G802" s="158"/>
      <c r="H802" s="465">
        <v>18174.77</v>
      </c>
      <c r="I802" s="465">
        <f t="shared" si="223"/>
        <v>18174.77</v>
      </c>
      <c r="J802" s="407">
        <f t="shared" si="224"/>
        <v>23045.61</v>
      </c>
      <c r="K802" s="408" t="s">
        <v>23</v>
      </c>
      <c r="L802" s="152">
        <v>0</v>
      </c>
      <c r="M802" s="152"/>
      <c r="N802" s="402">
        <f t="shared" si="225"/>
        <v>0</v>
      </c>
      <c r="O802" s="402">
        <f t="shared" si="226"/>
        <v>0</v>
      </c>
      <c r="P802" s="403"/>
      <c r="Q802" s="152">
        <f t="shared" si="229"/>
        <v>0</v>
      </c>
      <c r="R802" s="152">
        <f t="shared" si="229"/>
        <v>0</v>
      </c>
      <c r="S802" s="402">
        <f t="shared" si="227"/>
        <v>0</v>
      </c>
      <c r="T802" s="404">
        <f t="shared" si="228"/>
        <v>0</v>
      </c>
      <c r="U802" s="403"/>
      <c r="W802" s="43" t="str">
        <f t="shared" si="220"/>
        <v/>
      </c>
      <c r="X802" s="43" t="str">
        <f t="shared" si="212"/>
        <v/>
      </c>
      <c r="Y802" s="43" t="str">
        <f t="shared" si="195"/>
        <v/>
      </c>
    </row>
    <row r="803" spans="1:25" ht="25.5" hidden="1">
      <c r="A803" s="155" t="s">
        <v>876</v>
      </c>
      <c r="B803" s="156" t="s">
        <v>241</v>
      </c>
      <c r="C803" s="411" t="s">
        <v>921</v>
      </c>
      <c r="D803" s="351"/>
      <c r="E803" s="405"/>
      <c r="F803" s="406"/>
      <c r="G803" s="158"/>
      <c r="H803" s="465">
        <v>29583.15</v>
      </c>
      <c r="I803" s="465">
        <f t="shared" si="223"/>
        <v>29583.15</v>
      </c>
      <c r="J803" s="407">
        <f t="shared" si="224"/>
        <v>37511.43</v>
      </c>
      <c r="K803" s="408" t="s">
        <v>23</v>
      </c>
      <c r="L803" s="152">
        <v>0</v>
      </c>
      <c r="M803" s="152"/>
      <c r="N803" s="402">
        <f t="shared" si="225"/>
        <v>0</v>
      </c>
      <c r="O803" s="402">
        <f t="shared" si="226"/>
        <v>0</v>
      </c>
      <c r="P803" s="403"/>
      <c r="Q803" s="152">
        <f t="shared" si="229"/>
        <v>0</v>
      </c>
      <c r="R803" s="152">
        <f t="shared" si="229"/>
        <v>0</v>
      </c>
      <c r="S803" s="402">
        <f t="shared" si="227"/>
        <v>0</v>
      </c>
      <c r="T803" s="404">
        <f t="shared" si="228"/>
        <v>0</v>
      </c>
      <c r="U803" s="403"/>
      <c r="W803" s="43" t="str">
        <f t="shared" si="220"/>
        <v/>
      </c>
      <c r="X803" s="43" t="str">
        <f t="shared" si="212"/>
        <v/>
      </c>
      <c r="Y803" s="43" t="str">
        <f t="shared" si="195"/>
        <v/>
      </c>
    </row>
    <row r="804" spans="1:25" ht="25.5" hidden="1">
      <c r="A804" s="155" t="s">
        <v>877</v>
      </c>
      <c r="B804" s="156" t="s">
        <v>241</v>
      </c>
      <c r="C804" s="411" t="s">
        <v>922</v>
      </c>
      <c r="D804" s="351"/>
      <c r="E804" s="405"/>
      <c r="F804" s="406"/>
      <c r="G804" s="158"/>
      <c r="H804" s="465">
        <v>4929.97</v>
      </c>
      <c r="I804" s="465">
        <f t="shared" si="223"/>
        <v>4929.97</v>
      </c>
      <c r="J804" s="407">
        <f t="shared" si="224"/>
        <v>6251.2</v>
      </c>
      <c r="K804" s="408" t="s">
        <v>23</v>
      </c>
      <c r="L804" s="152">
        <v>0</v>
      </c>
      <c r="M804" s="152"/>
      <c r="N804" s="402">
        <f t="shared" si="225"/>
        <v>0</v>
      </c>
      <c r="O804" s="402">
        <f t="shared" si="226"/>
        <v>0</v>
      </c>
      <c r="P804" s="403"/>
      <c r="Q804" s="152">
        <f t="shared" si="229"/>
        <v>0</v>
      </c>
      <c r="R804" s="152">
        <f t="shared" si="229"/>
        <v>0</v>
      </c>
      <c r="S804" s="402">
        <f t="shared" si="227"/>
        <v>0</v>
      </c>
      <c r="T804" s="404">
        <f t="shared" si="228"/>
        <v>0</v>
      </c>
      <c r="U804" s="403"/>
      <c r="W804" s="43" t="str">
        <f t="shared" si="220"/>
        <v/>
      </c>
      <c r="X804" s="43" t="str">
        <f t="shared" si="212"/>
        <v/>
      </c>
      <c r="Y804" s="43" t="str">
        <f t="shared" si="195"/>
        <v/>
      </c>
    </row>
    <row r="805" spans="1:25" ht="25.5" hidden="1">
      <c r="A805" s="155" t="s">
        <v>878</v>
      </c>
      <c r="B805" s="156" t="s">
        <v>241</v>
      </c>
      <c r="C805" s="411" t="s">
        <v>923</v>
      </c>
      <c r="D805" s="351"/>
      <c r="E805" s="405"/>
      <c r="F805" s="406"/>
      <c r="G805" s="158"/>
      <c r="H805" s="465">
        <v>5520.78</v>
      </c>
      <c r="I805" s="465">
        <f t="shared" si="223"/>
        <v>5520.78</v>
      </c>
      <c r="J805" s="407">
        <f t="shared" si="224"/>
        <v>7000.35</v>
      </c>
      <c r="K805" s="408" t="s">
        <v>23</v>
      </c>
      <c r="L805" s="152">
        <v>0</v>
      </c>
      <c r="M805" s="152"/>
      <c r="N805" s="402">
        <f t="shared" si="225"/>
        <v>0</v>
      </c>
      <c r="O805" s="402">
        <f t="shared" si="226"/>
        <v>0</v>
      </c>
      <c r="P805" s="403"/>
      <c r="Q805" s="152">
        <f t="shared" si="229"/>
        <v>0</v>
      </c>
      <c r="R805" s="152">
        <f t="shared" si="229"/>
        <v>0</v>
      </c>
      <c r="S805" s="402">
        <f t="shared" si="227"/>
        <v>0</v>
      </c>
      <c r="T805" s="404">
        <f t="shared" si="228"/>
        <v>0</v>
      </c>
      <c r="U805" s="403"/>
      <c r="W805" s="43" t="str">
        <f t="shared" si="220"/>
        <v/>
      </c>
      <c r="X805" s="43" t="str">
        <f t="shared" si="212"/>
        <v/>
      </c>
      <c r="Y805" s="43" t="str">
        <f t="shared" si="195"/>
        <v/>
      </c>
    </row>
    <row r="806" spans="1:25" ht="25.5" hidden="1">
      <c r="A806" s="155" t="s">
        <v>879</v>
      </c>
      <c r="B806" s="156" t="s">
        <v>241</v>
      </c>
      <c r="C806" s="411" t="s">
        <v>924</v>
      </c>
      <c r="D806" s="351"/>
      <c r="E806" s="405"/>
      <c r="F806" s="406"/>
      <c r="G806" s="158"/>
      <c r="H806" s="465">
        <v>40534.86</v>
      </c>
      <c r="I806" s="465">
        <f t="shared" si="223"/>
        <v>40534.86</v>
      </c>
      <c r="J806" s="407">
        <f t="shared" si="224"/>
        <v>51398.2</v>
      </c>
      <c r="K806" s="408" t="s">
        <v>23</v>
      </c>
      <c r="L806" s="152">
        <v>0</v>
      </c>
      <c r="M806" s="152"/>
      <c r="N806" s="402">
        <f t="shared" si="225"/>
        <v>0</v>
      </c>
      <c r="O806" s="402">
        <f t="shared" si="226"/>
        <v>0</v>
      </c>
      <c r="P806" s="403"/>
      <c r="Q806" s="152">
        <f t="shared" si="229"/>
        <v>0</v>
      </c>
      <c r="R806" s="152">
        <f t="shared" si="229"/>
        <v>0</v>
      </c>
      <c r="S806" s="402">
        <f t="shared" si="227"/>
        <v>0</v>
      </c>
      <c r="T806" s="404">
        <f t="shared" si="228"/>
        <v>0</v>
      </c>
      <c r="U806" s="403"/>
      <c r="W806" s="43" t="str">
        <f t="shared" si="220"/>
        <v/>
      </c>
      <c r="X806" s="43" t="str">
        <f t="shared" si="212"/>
        <v/>
      </c>
      <c r="Y806" s="43" t="str">
        <f t="shared" si="195"/>
        <v/>
      </c>
    </row>
    <row r="807" spans="1:25" ht="25.5" hidden="1">
      <c r="A807" s="155" t="s">
        <v>880</v>
      </c>
      <c r="B807" s="156" t="s">
        <v>241</v>
      </c>
      <c r="C807" s="411" t="s">
        <v>925</v>
      </c>
      <c r="D807" s="351"/>
      <c r="E807" s="405"/>
      <c r="F807" s="406"/>
      <c r="G807" s="158"/>
      <c r="H807" s="465">
        <v>56698.21</v>
      </c>
      <c r="I807" s="465">
        <f t="shared" si="223"/>
        <v>56698.21</v>
      </c>
      <c r="J807" s="407">
        <f t="shared" si="224"/>
        <v>71893.33</v>
      </c>
      <c r="K807" s="408" t="s">
        <v>23</v>
      </c>
      <c r="L807" s="152">
        <v>0</v>
      </c>
      <c r="M807" s="152"/>
      <c r="N807" s="402">
        <f t="shared" si="225"/>
        <v>0</v>
      </c>
      <c r="O807" s="402">
        <f t="shared" si="226"/>
        <v>0</v>
      </c>
      <c r="P807" s="403"/>
      <c r="Q807" s="152">
        <f t="shared" si="229"/>
        <v>0</v>
      </c>
      <c r="R807" s="152">
        <f t="shared" si="229"/>
        <v>0</v>
      </c>
      <c r="S807" s="402">
        <f t="shared" si="227"/>
        <v>0</v>
      </c>
      <c r="T807" s="404">
        <f t="shared" si="228"/>
        <v>0</v>
      </c>
      <c r="U807" s="403"/>
      <c r="W807" s="43" t="str">
        <f t="shared" si="220"/>
        <v/>
      </c>
      <c r="X807" s="43" t="str">
        <f t="shared" si="212"/>
        <v/>
      </c>
      <c r="Y807" s="43" t="str">
        <f t="shared" si="195"/>
        <v/>
      </c>
    </row>
    <row r="808" spans="1:25" ht="38.25" hidden="1">
      <c r="A808" s="155" t="s">
        <v>881</v>
      </c>
      <c r="B808" s="156" t="s">
        <v>241</v>
      </c>
      <c r="C808" s="411" t="s">
        <v>926</v>
      </c>
      <c r="D808" s="351"/>
      <c r="E808" s="405"/>
      <c r="F808" s="406"/>
      <c r="G808" s="158"/>
      <c r="H808" s="465">
        <v>283.45999999999998</v>
      </c>
      <c r="I808" s="465">
        <f t="shared" si="223"/>
        <v>283.45999999999998</v>
      </c>
      <c r="J808" s="407">
        <f t="shared" si="224"/>
        <v>359.43</v>
      </c>
      <c r="K808" s="408" t="s">
        <v>23</v>
      </c>
      <c r="L808" s="152">
        <v>0</v>
      </c>
      <c r="M808" s="152"/>
      <c r="N808" s="402">
        <f t="shared" si="225"/>
        <v>0</v>
      </c>
      <c r="O808" s="402">
        <f t="shared" si="226"/>
        <v>0</v>
      </c>
      <c r="P808" s="403"/>
      <c r="Q808" s="152">
        <f t="shared" si="229"/>
        <v>0</v>
      </c>
      <c r="R808" s="152">
        <f t="shared" si="229"/>
        <v>0</v>
      </c>
      <c r="S808" s="402">
        <f t="shared" si="227"/>
        <v>0</v>
      </c>
      <c r="T808" s="404">
        <f t="shared" si="228"/>
        <v>0</v>
      </c>
      <c r="U808" s="403"/>
      <c r="W808" s="43" t="str">
        <f t="shared" si="220"/>
        <v/>
      </c>
      <c r="X808" s="43" t="str">
        <f t="shared" si="212"/>
        <v/>
      </c>
      <c r="Y808" s="43" t="str">
        <f t="shared" si="195"/>
        <v/>
      </c>
    </row>
    <row r="809" spans="1:25" ht="25.5" hidden="1">
      <c r="A809" s="155" t="s">
        <v>882</v>
      </c>
      <c r="B809" s="156" t="s">
        <v>241</v>
      </c>
      <c r="C809" s="411" t="s">
        <v>927</v>
      </c>
      <c r="D809" s="351"/>
      <c r="E809" s="405"/>
      <c r="F809" s="406"/>
      <c r="G809" s="158"/>
      <c r="H809" s="465">
        <v>21.58</v>
      </c>
      <c r="I809" s="465">
        <f t="shared" si="223"/>
        <v>21.58</v>
      </c>
      <c r="J809" s="407">
        <f t="shared" si="224"/>
        <v>27.36</v>
      </c>
      <c r="K809" s="408" t="s">
        <v>23</v>
      </c>
      <c r="L809" s="152">
        <v>0</v>
      </c>
      <c r="M809" s="152"/>
      <c r="N809" s="402">
        <f t="shared" si="225"/>
        <v>0</v>
      </c>
      <c r="O809" s="402">
        <f t="shared" si="226"/>
        <v>0</v>
      </c>
      <c r="P809" s="403"/>
      <c r="Q809" s="152">
        <f t="shared" si="229"/>
        <v>0</v>
      </c>
      <c r="R809" s="152">
        <f t="shared" si="229"/>
        <v>0</v>
      </c>
      <c r="S809" s="402">
        <f t="shared" si="227"/>
        <v>0</v>
      </c>
      <c r="T809" s="404">
        <f t="shared" si="228"/>
        <v>0</v>
      </c>
      <c r="U809" s="403"/>
      <c r="W809" s="43" t="str">
        <f t="shared" si="220"/>
        <v/>
      </c>
      <c r="X809" s="43" t="str">
        <f t="shared" si="212"/>
        <v/>
      </c>
      <c r="Y809" s="43" t="str">
        <f t="shared" si="195"/>
        <v/>
      </c>
    </row>
    <row r="810" spans="1:25" ht="25.5" hidden="1">
      <c r="A810" s="155" t="s">
        <v>883</v>
      </c>
      <c r="B810" s="156" t="s">
        <v>241</v>
      </c>
      <c r="C810" s="411" t="s">
        <v>928</v>
      </c>
      <c r="D810" s="351"/>
      <c r="E810" s="405"/>
      <c r="F810" s="406"/>
      <c r="G810" s="158"/>
      <c r="H810" s="465">
        <v>64.81</v>
      </c>
      <c r="I810" s="465">
        <f t="shared" si="223"/>
        <v>64.81</v>
      </c>
      <c r="J810" s="407">
        <f t="shared" si="224"/>
        <v>82.18</v>
      </c>
      <c r="K810" s="408" t="s">
        <v>23</v>
      </c>
      <c r="L810" s="152">
        <v>0</v>
      </c>
      <c r="M810" s="152"/>
      <c r="N810" s="402">
        <f t="shared" si="225"/>
        <v>0</v>
      </c>
      <c r="O810" s="402">
        <f t="shared" si="226"/>
        <v>0</v>
      </c>
      <c r="P810" s="403"/>
      <c r="Q810" s="152">
        <f t="shared" si="229"/>
        <v>0</v>
      </c>
      <c r="R810" s="152">
        <f t="shared" si="229"/>
        <v>0</v>
      </c>
      <c r="S810" s="402">
        <f t="shared" si="227"/>
        <v>0</v>
      </c>
      <c r="T810" s="404">
        <f t="shared" si="228"/>
        <v>0</v>
      </c>
      <c r="U810" s="403"/>
      <c r="W810" s="43" t="str">
        <f t="shared" si="220"/>
        <v/>
      </c>
      <c r="X810" s="43" t="str">
        <f t="shared" si="212"/>
        <v/>
      </c>
      <c r="Y810" s="43" t="str">
        <f t="shared" si="195"/>
        <v/>
      </c>
    </row>
    <row r="811" spans="1:25" ht="25.5" hidden="1">
      <c r="A811" s="155">
        <v>72322</v>
      </c>
      <c r="B811" s="156" t="s">
        <v>241</v>
      </c>
      <c r="C811" s="411" t="s">
        <v>929</v>
      </c>
      <c r="D811" s="351"/>
      <c r="E811" s="405"/>
      <c r="F811" s="406"/>
      <c r="G811" s="158"/>
      <c r="H811" s="465">
        <v>266.94</v>
      </c>
      <c r="I811" s="465">
        <f t="shared" si="223"/>
        <v>266.94</v>
      </c>
      <c r="J811" s="407">
        <f t="shared" si="224"/>
        <v>338.48</v>
      </c>
      <c r="K811" s="408" t="s">
        <v>23</v>
      </c>
      <c r="L811" s="152">
        <v>0</v>
      </c>
      <c r="M811" s="152"/>
      <c r="N811" s="402">
        <f t="shared" si="225"/>
        <v>0</v>
      </c>
      <c r="O811" s="402">
        <f t="shared" si="226"/>
        <v>0</v>
      </c>
      <c r="P811" s="403"/>
      <c r="Q811" s="152">
        <f t="shared" si="229"/>
        <v>0</v>
      </c>
      <c r="R811" s="152">
        <f t="shared" si="229"/>
        <v>0</v>
      </c>
      <c r="S811" s="402">
        <f t="shared" si="227"/>
        <v>0</v>
      </c>
      <c r="T811" s="404">
        <f t="shared" si="228"/>
        <v>0</v>
      </c>
      <c r="U811" s="403"/>
      <c r="W811" s="43" t="str">
        <f t="shared" si="220"/>
        <v/>
      </c>
      <c r="X811" s="43" t="str">
        <f t="shared" si="212"/>
        <v/>
      </c>
      <c r="Y811" s="43" t="str">
        <f t="shared" si="195"/>
        <v/>
      </c>
    </row>
    <row r="812" spans="1:25" ht="25.5" hidden="1">
      <c r="A812" s="155">
        <v>72326</v>
      </c>
      <c r="B812" s="156" t="s">
        <v>241</v>
      </c>
      <c r="C812" s="411" t="s">
        <v>930</v>
      </c>
      <c r="D812" s="351"/>
      <c r="E812" s="405"/>
      <c r="F812" s="406"/>
      <c r="G812" s="158"/>
      <c r="H812" s="465">
        <v>351.41</v>
      </c>
      <c r="I812" s="465">
        <f t="shared" si="223"/>
        <v>351.41</v>
      </c>
      <c r="J812" s="407">
        <f t="shared" si="224"/>
        <v>445.59</v>
      </c>
      <c r="K812" s="408" t="s">
        <v>23</v>
      </c>
      <c r="L812" s="152">
        <v>0</v>
      </c>
      <c r="M812" s="152"/>
      <c r="N812" s="402">
        <f t="shared" si="225"/>
        <v>0</v>
      </c>
      <c r="O812" s="402">
        <f t="shared" si="226"/>
        <v>0</v>
      </c>
      <c r="P812" s="403"/>
      <c r="Q812" s="152">
        <f t="shared" si="229"/>
        <v>0</v>
      </c>
      <c r="R812" s="152">
        <f t="shared" si="229"/>
        <v>0</v>
      </c>
      <c r="S812" s="402">
        <f t="shared" si="227"/>
        <v>0</v>
      </c>
      <c r="T812" s="404">
        <f t="shared" si="228"/>
        <v>0</v>
      </c>
      <c r="U812" s="403"/>
      <c r="W812" s="43" t="str">
        <f t="shared" si="220"/>
        <v/>
      </c>
      <c r="X812" s="43" t="str">
        <f t="shared" si="212"/>
        <v/>
      </c>
      <c r="Y812" s="43" t="str">
        <f t="shared" si="195"/>
        <v/>
      </c>
    </row>
    <row r="813" spans="1:25" ht="25.5" hidden="1">
      <c r="A813" s="155">
        <v>83488</v>
      </c>
      <c r="B813" s="156" t="s">
        <v>241</v>
      </c>
      <c r="C813" s="411" t="s">
        <v>931</v>
      </c>
      <c r="D813" s="351"/>
      <c r="E813" s="405"/>
      <c r="F813" s="406"/>
      <c r="G813" s="158"/>
      <c r="H813" s="465">
        <v>1408.08</v>
      </c>
      <c r="I813" s="465">
        <f t="shared" si="223"/>
        <v>1408.08</v>
      </c>
      <c r="J813" s="407">
        <f t="shared" si="224"/>
        <v>1785.45</v>
      </c>
      <c r="K813" s="408" t="s">
        <v>23</v>
      </c>
      <c r="L813" s="152">
        <v>0</v>
      </c>
      <c r="M813" s="152"/>
      <c r="N813" s="402">
        <f t="shared" si="225"/>
        <v>0</v>
      </c>
      <c r="O813" s="402">
        <f t="shared" si="226"/>
        <v>0</v>
      </c>
      <c r="P813" s="403"/>
      <c r="Q813" s="152">
        <f t="shared" si="229"/>
        <v>0</v>
      </c>
      <c r="R813" s="152">
        <f t="shared" si="229"/>
        <v>0</v>
      </c>
      <c r="S813" s="402">
        <f t="shared" si="227"/>
        <v>0</v>
      </c>
      <c r="T813" s="404">
        <f t="shared" si="228"/>
        <v>0</v>
      </c>
      <c r="U813" s="403"/>
      <c r="W813" s="43" t="str">
        <f t="shared" si="220"/>
        <v/>
      </c>
      <c r="X813" s="43" t="str">
        <f t="shared" si="212"/>
        <v/>
      </c>
      <c r="Y813" s="43" t="str">
        <f t="shared" si="195"/>
        <v/>
      </c>
    </row>
    <row r="814" spans="1:25" ht="25.5" hidden="1">
      <c r="A814" s="155">
        <v>83489</v>
      </c>
      <c r="B814" s="156" t="s">
        <v>241</v>
      </c>
      <c r="C814" s="411" t="s">
        <v>932</v>
      </c>
      <c r="D814" s="351"/>
      <c r="E814" s="405"/>
      <c r="F814" s="406"/>
      <c r="G814" s="158"/>
      <c r="H814" s="465">
        <v>1524.28</v>
      </c>
      <c r="I814" s="465">
        <f t="shared" si="223"/>
        <v>1524.28</v>
      </c>
      <c r="J814" s="407">
        <f t="shared" si="224"/>
        <v>1932.79</v>
      </c>
      <c r="K814" s="408" t="s">
        <v>23</v>
      </c>
      <c r="L814" s="152">
        <v>0</v>
      </c>
      <c r="M814" s="152"/>
      <c r="N814" s="402">
        <f t="shared" si="225"/>
        <v>0</v>
      </c>
      <c r="O814" s="402">
        <f t="shared" si="226"/>
        <v>0</v>
      </c>
      <c r="P814" s="403"/>
      <c r="Q814" s="152">
        <f t="shared" si="229"/>
        <v>0</v>
      </c>
      <c r="R814" s="152">
        <f t="shared" si="229"/>
        <v>0</v>
      </c>
      <c r="S814" s="402">
        <f t="shared" si="227"/>
        <v>0</v>
      </c>
      <c r="T814" s="404">
        <f t="shared" si="228"/>
        <v>0</v>
      </c>
      <c r="U814" s="403"/>
      <c r="W814" s="43" t="str">
        <f t="shared" si="220"/>
        <v/>
      </c>
      <c r="X814" s="43" t="str">
        <f t="shared" si="212"/>
        <v/>
      </c>
      <c r="Y814" s="43" t="str">
        <f t="shared" si="195"/>
        <v/>
      </c>
    </row>
    <row r="815" spans="1:25" ht="25.5" hidden="1">
      <c r="A815" s="155">
        <v>72327</v>
      </c>
      <c r="B815" s="156" t="s">
        <v>241</v>
      </c>
      <c r="C815" s="411" t="s">
        <v>933</v>
      </c>
      <c r="D815" s="351"/>
      <c r="E815" s="405"/>
      <c r="F815" s="406"/>
      <c r="G815" s="158"/>
      <c r="H815" s="465">
        <v>6.26</v>
      </c>
      <c r="I815" s="465">
        <f t="shared" si="223"/>
        <v>6.26</v>
      </c>
      <c r="J815" s="407">
        <f t="shared" si="224"/>
        <v>7.94</v>
      </c>
      <c r="K815" s="408" t="s">
        <v>23</v>
      </c>
      <c r="L815" s="152">
        <v>0</v>
      </c>
      <c r="M815" s="152"/>
      <c r="N815" s="402">
        <f t="shared" si="225"/>
        <v>0</v>
      </c>
      <c r="O815" s="402">
        <f t="shared" si="226"/>
        <v>0</v>
      </c>
      <c r="P815" s="403"/>
      <c r="Q815" s="152">
        <f t="shared" si="229"/>
        <v>0</v>
      </c>
      <c r="R815" s="152">
        <f t="shared" si="229"/>
        <v>0</v>
      </c>
      <c r="S815" s="402">
        <f t="shared" si="227"/>
        <v>0</v>
      </c>
      <c r="T815" s="404">
        <f t="shared" si="228"/>
        <v>0</v>
      </c>
      <c r="U815" s="403"/>
      <c r="W815" s="43" t="str">
        <f t="shared" ref="W815:W879" si="230">IF(V815="X","x",IF(V815="xx","x",IF(V815="xy","x",IF(V815="y","x",IF(OR(O815&gt;0,T815&gt;0),"x","")))))</f>
        <v/>
      </c>
      <c r="X815" s="43" t="str">
        <f t="shared" si="212"/>
        <v/>
      </c>
      <c r="Y815" s="43" t="str">
        <f t="shared" si="195"/>
        <v/>
      </c>
    </row>
    <row r="816" spans="1:25" ht="25.5" hidden="1">
      <c r="A816" s="155">
        <v>72328</v>
      </c>
      <c r="B816" s="156" t="s">
        <v>241</v>
      </c>
      <c r="C816" s="411" t="s">
        <v>934</v>
      </c>
      <c r="D816" s="351"/>
      <c r="E816" s="405"/>
      <c r="F816" s="406"/>
      <c r="G816" s="158"/>
      <c r="H816" s="465">
        <v>7.4</v>
      </c>
      <c r="I816" s="465">
        <f t="shared" si="223"/>
        <v>7.4</v>
      </c>
      <c r="J816" s="407">
        <f t="shared" si="224"/>
        <v>9.3800000000000008</v>
      </c>
      <c r="K816" s="408" t="s">
        <v>23</v>
      </c>
      <c r="L816" s="152">
        <v>0</v>
      </c>
      <c r="M816" s="152"/>
      <c r="N816" s="402">
        <f t="shared" si="225"/>
        <v>0</v>
      </c>
      <c r="O816" s="402">
        <f t="shared" si="226"/>
        <v>0</v>
      </c>
      <c r="P816" s="403"/>
      <c r="Q816" s="152">
        <f t="shared" si="229"/>
        <v>0</v>
      </c>
      <c r="R816" s="152">
        <f t="shared" si="229"/>
        <v>0</v>
      </c>
      <c r="S816" s="402">
        <f t="shared" si="227"/>
        <v>0</v>
      </c>
      <c r="T816" s="404">
        <f t="shared" si="228"/>
        <v>0</v>
      </c>
      <c r="U816" s="403"/>
      <c r="W816" s="43" t="str">
        <f t="shared" si="230"/>
        <v/>
      </c>
      <c r="X816" s="43" t="str">
        <f t="shared" si="212"/>
        <v/>
      </c>
      <c r="Y816" s="43" t="str">
        <f t="shared" si="195"/>
        <v/>
      </c>
    </row>
    <row r="817" spans="1:25" hidden="1">
      <c r="A817" s="155">
        <v>72330</v>
      </c>
      <c r="B817" s="156" t="s">
        <v>241</v>
      </c>
      <c r="C817" s="411" t="s">
        <v>935</v>
      </c>
      <c r="D817" s="351"/>
      <c r="E817" s="405"/>
      <c r="F817" s="406"/>
      <c r="G817" s="158"/>
      <c r="H817" s="465">
        <v>32.299999999999997</v>
      </c>
      <c r="I817" s="465">
        <f t="shared" si="223"/>
        <v>32.299999999999997</v>
      </c>
      <c r="J817" s="407">
        <f t="shared" si="224"/>
        <v>40.96</v>
      </c>
      <c r="K817" s="408" t="s">
        <v>23</v>
      </c>
      <c r="L817" s="152">
        <v>0</v>
      </c>
      <c r="M817" s="152"/>
      <c r="N817" s="402">
        <f t="shared" si="225"/>
        <v>0</v>
      </c>
      <c r="O817" s="402">
        <f t="shared" si="226"/>
        <v>0</v>
      </c>
      <c r="P817" s="403"/>
      <c r="Q817" s="152">
        <f t="shared" si="229"/>
        <v>0</v>
      </c>
      <c r="R817" s="152">
        <f t="shared" si="229"/>
        <v>0</v>
      </c>
      <c r="S817" s="402">
        <f t="shared" si="227"/>
        <v>0</v>
      </c>
      <c r="T817" s="404">
        <f t="shared" si="228"/>
        <v>0</v>
      </c>
      <c r="U817" s="403"/>
      <c r="W817" s="43" t="str">
        <f t="shared" si="230"/>
        <v/>
      </c>
      <c r="X817" s="43" t="str">
        <f t="shared" si="212"/>
        <v/>
      </c>
      <c r="Y817" s="43" t="str">
        <f t="shared" si="195"/>
        <v/>
      </c>
    </row>
    <row r="818" spans="1:25" hidden="1">
      <c r="A818" s="155">
        <v>83493</v>
      </c>
      <c r="B818" s="156" t="s">
        <v>241</v>
      </c>
      <c r="C818" s="411" t="s">
        <v>936</v>
      </c>
      <c r="D818" s="351"/>
      <c r="E818" s="405"/>
      <c r="F818" s="406"/>
      <c r="G818" s="158"/>
      <c r="H818" s="465">
        <v>32.299999999999997</v>
      </c>
      <c r="I818" s="465">
        <f t="shared" si="223"/>
        <v>32.299999999999997</v>
      </c>
      <c r="J818" s="407">
        <f t="shared" si="224"/>
        <v>40.96</v>
      </c>
      <c r="K818" s="408" t="s">
        <v>23</v>
      </c>
      <c r="L818" s="152">
        <v>0</v>
      </c>
      <c r="M818" s="152"/>
      <c r="N818" s="402">
        <f t="shared" si="225"/>
        <v>0</v>
      </c>
      <c r="O818" s="402">
        <f t="shared" si="226"/>
        <v>0</v>
      </c>
      <c r="P818" s="403"/>
      <c r="Q818" s="152">
        <f t="shared" si="229"/>
        <v>0</v>
      </c>
      <c r="R818" s="152">
        <f t="shared" si="229"/>
        <v>0</v>
      </c>
      <c r="S818" s="402">
        <f t="shared" si="227"/>
        <v>0</v>
      </c>
      <c r="T818" s="404">
        <f t="shared" si="228"/>
        <v>0</v>
      </c>
      <c r="U818" s="403"/>
      <c r="W818" s="43" t="str">
        <f t="shared" si="230"/>
        <v/>
      </c>
      <c r="X818" s="43" t="str">
        <f t="shared" si="212"/>
        <v/>
      </c>
      <c r="Y818" s="43" t="str">
        <f t="shared" si="195"/>
        <v/>
      </c>
    </row>
    <row r="819" spans="1:25" hidden="1">
      <c r="A819" s="155">
        <v>83482</v>
      </c>
      <c r="B819" s="156" t="s">
        <v>241</v>
      </c>
      <c r="C819" s="411" t="s">
        <v>937</v>
      </c>
      <c r="D819" s="351"/>
      <c r="E819" s="405"/>
      <c r="F819" s="406"/>
      <c r="G819" s="158"/>
      <c r="H819" s="465">
        <v>32.299999999999997</v>
      </c>
      <c r="I819" s="465">
        <f t="shared" si="223"/>
        <v>32.299999999999997</v>
      </c>
      <c r="J819" s="407">
        <f t="shared" si="224"/>
        <v>40.96</v>
      </c>
      <c r="K819" s="408" t="s">
        <v>23</v>
      </c>
      <c r="L819" s="152">
        <v>0</v>
      </c>
      <c r="M819" s="152"/>
      <c r="N819" s="402">
        <f t="shared" si="225"/>
        <v>0</v>
      </c>
      <c r="O819" s="402">
        <f t="shared" si="226"/>
        <v>0</v>
      </c>
      <c r="P819" s="403"/>
      <c r="Q819" s="152">
        <f t="shared" si="229"/>
        <v>0</v>
      </c>
      <c r="R819" s="152">
        <f t="shared" si="229"/>
        <v>0</v>
      </c>
      <c r="S819" s="402">
        <f t="shared" si="227"/>
        <v>0</v>
      </c>
      <c r="T819" s="404">
        <f t="shared" si="228"/>
        <v>0</v>
      </c>
      <c r="U819" s="403"/>
      <c r="W819" s="43" t="str">
        <f t="shared" si="230"/>
        <v/>
      </c>
      <c r="X819" s="43" t="str">
        <f t="shared" si="212"/>
        <v/>
      </c>
      <c r="Y819" s="43" t="str">
        <f t="shared" si="195"/>
        <v/>
      </c>
    </row>
    <row r="820" spans="1:25" hidden="1">
      <c r="A820" s="155">
        <v>83487</v>
      </c>
      <c r="B820" s="156" t="s">
        <v>241</v>
      </c>
      <c r="C820" s="411" t="s">
        <v>938</v>
      </c>
      <c r="D820" s="351"/>
      <c r="E820" s="405"/>
      <c r="F820" s="406"/>
      <c r="G820" s="158"/>
      <c r="H820" s="465">
        <v>56.81</v>
      </c>
      <c r="I820" s="465">
        <f t="shared" si="223"/>
        <v>56.81</v>
      </c>
      <c r="J820" s="407">
        <f t="shared" si="224"/>
        <v>72.040000000000006</v>
      </c>
      <c r="K820" s="408" t="s">
        <v>23</v>
      </c>
      <c r="L820" s="152">
        <v>0</v>
      </c>
      <c r="M820" s="152"/>
      <c r="N820" s="402">
        <f t="shared" si="225"/>
        <v>0</v>
      </c>
      <c r="O820" s="402">
        <f t="shared" si="226"/>
        <v>0</v>
      </c>
      <c r="P820" s="403"/>
      <c r="Q820" s="152">
        <f t="shared" si="229"/>
        <v>0</v>
      </c>
      <c r="R820" s="152">
        <f t="shared" si="229"/>
        <v>0</v>
      </c>
      <c r="S820" s="402">
        <f t="shared" si="227"/>
        <v>0</v>
      </c>
      <c r="T820" s="404">
        <f t="shared" si="228"/>
        <v>0</v>
      </c>
      <c r="U820" s="403"/>
      <c r="W820" s="43" t="str">
        <f t="shared" si="230"/>
        <v/>
      </c>
      <c r="X820" s="43" t="str">
        <f t="shared" si="212"/>
        <v/>
      </c>
      <c r="Y820" s="43" t="str">
        <f t="shared" si="195"/>
        <v/>
      </c>
    </row>
    <row r="821" spans="1:25" ht="25.5" hidden="1">
      <c r="A821" s="155" t="s">
        <v>884</v>
      </c>
      <c r="B821" s="156" t="s">
        <v>241</v>
      </c>
      <c r="C821" s="411" t="s">
        <v>939</v>
      </c>
      <c r="D821" s="351"/>
      <c r="E821" s="405"/>
      <c r="F821" s="406"/>
      <c r="G821" s="158"/>
      <c r="H821" s="465">
        <v>205.4</v>
      </c>
      <c r="I821" s="465">
        <f t="shared" si="223"/>
        <v>205.4</v>
      </c>
      <c r="J821" s="407">
        <f t="shared" si="224"/>
        <v>260.45</v>
      </c>
      <c r="K821" s="408" t="s">
        <v>23</v>
      </c>
      <c r="L821" s="152">
        <v>0</v>
      </c>
      <c r="M821" s="152"/>
      <c r="N821" s="402">
        <f t="shared" si="225"/>
        <v>0</v>
      </c>
      <c r="O821" s="402">
        <f t="shared" si="226"/>
        <v>0</v>
      </c>
      <c r="P821" s="403"/>
      <c r="Q821" s="152">
        <f t="shared" si="229"/>
        <v>0</v>
      </c>
      <c r="R821" s="152">
        <f t="shared" si="229"/>
        <v>0</v>
      </c>
      <c r="S821" s="402">
        <f t="shared" si="227"/>
        <v>0</v>
      </c>
      <c r="T821" s="404">
        <f t="shared" si="228"/>
        <v>0</v>
      </c>
      <c r="U821" s="403"/>
      <c r="W821" s="43" t="str">
        <f t="shared" si="230"/>
        <v/>
      </c>
      <c r="X821" s="43" t="str">
        <f t="shared" si="212"/>
        <v/>
      </c>
      <c r="Y821" s="43" t="str">
        <f t="shared" si="195"/>
        <v/>
      </c>
    </row>
    <row r="822" spans="1:25" hidden="1">
      <c r="A822" s="155" t="s">
        <v>885</v>
      </c>
      <c r="B822" s="156" t="s">
        <v>241</v>
      </c>
      <c r="C822" s="411" t="s">
        <v>940</v>
      </c>
      <c r="D822" s="351"/>
      <c r="E822" s="405"/>
      <c r="F822" s="406"/>
      <c r="G822" s="158"/>
      <c r="H822" s="465">
        <v>124.64</v>
      </c>
      <c r="I822" s="465">
        <f t="shared" si="223"/>
        <v>124.64</v>
      </c>
      <c r="J822" s="407">
        <f t="shared" si="224"/>
        <v>158.04</v>
      </c>
      <c r="K822" s="408" t="s">
        <v>23</v>
      </c>
      <c r="L822" s="152">
        <v>0</v>
      </c>
      <c r="M822" s="152"/>
      <c r="N822" s="402">
        <f t="shared" si="225"/>
        <v>0</v>
      </c>
      <c r="O822" s="402">
        <f t="shared" si="226"/>
        <v>0</v>
      </c>
      <c r="P822" s="403"/>
      <c r="Q822" s="152">
        <f t="shared" si="229"/>
        <v>0</v>
      </c>
      <c r="R822" s="152">
        <f t="shared" si="229"/>
        <v>0</v>
      </c>
      <c r="S822" s="402">
        <f t="shared" si="227"/>
        <v>0</v>
      </c>
      <c r="T822" s="404">
        <f t="shared" si="228"/>
        <v>0</v>
      </c>
      <c r="U822" s="403"/>
      <c r="W822" s="43" t="str">
        <f t="shared" si="230"/>
        <v/>
      </c>
      <c r="X822" s="43" t="str">
        <f t="shared" si="212"/>
        <v/>
      </c>
      <c r="Y822" s="43" t="str">
        <f t="shared" si="195"/>
        <v/>
      </c>
    </row>
    <row r="823" spans="1:25" hidden="1">
      <c r="A823" s="155" t="s">
        <v>886</v>
      </c>
      <c r="B823" s="156" t="s">
        <v>241</v>
      </c>
      <c r="C823" s="411" t="s">
        <v>941</v>
      </c>
      <c r="D823" s="351"/>
      <c r="E823" s="405"/>
      <c r="F823" s="406"/>
      <c r="G823" s="158"/>
      <c r="H823" s="465">
        <v>193.95</v>
      </c>
      <c r="I823" s="465">
        <f t="shared" si="223"/>
        <v>193.95</v>
      </c>
      <c r="J823" s="407">
        <f t="shared" si="224"/>
        <v>245.93</v>
      </c>
      <c r="K823" s="408" t="s">
        <v>23</v>
      </c>
      <c r="L823" s="152">
        <v>0</v>
      </c>
      <c r="M823" s="152"/>
      <c r="N823" s="402">
        <f t="shared" si="225"/>
        <v>0</v>
      </c>
      <c r="O823" s="402">
        <f t="shared" si="226"/>
        <v>0</v>
      </c>
      <c r="P823" s="403"/>
      <c r="Q823" s="152">
        <f t="shared" si="229"/>
        <v>0</v>
      </c>
      <c r="R823" s="152">
        <f t="shared" si="229"/>
        <v>0</v>
      </c>
      <c r="S823" s="402">
        <f t="shared" si="227"/>
        <v>0</v>
      </c>
      <c r="T823" s="404">
        <f t="shared" si="228"/>
        <v>0</v>
      </c>
      <c r="U823" s="403"/>
      <c r="W823" s="43" t="str">
        <f t="shared" si="230"/>
        <v/>
      </c>
      <c r="X823" s="43" t="str">
        <f t="shared" si="212"/>
        <v/>
      </c>
      <c r="Y823" s="43" t="str">
        <f t="shared" si="195"/>
        <v/>
      </c>
    </row>
    <row r="824" spans="1:25" hidden="1">
      <c r="A824" s="155" t="s">
        <v>887</v>
      </c>
      <c r="B824" s="156" t="s">
        <v>241</v>
      </c>
      <c r="C824" s="411" t="s">
        <v>942</v>
      </c>
      <c r="D824" s="351"/>
      <c r="E824" s="405"/>
      <c r="F824" s="406"/>
      <c r="G824" s="158"/>
      <c r="H824" s="465">
        <v>426.59</v>
      </c>
      <c r="I824" s="465">
        <f t="shared" si="223"/>
        <v>426.59</v>
      </c>
      <c r="J824" s="407">
        <f t="shared" si="224"/>
        <v>540.91999999999996</v>
      </c>
      <c r="K824" s="408" t="s">
        <v>23</v>
      </c>
      <c r="L824" s="152">
        <v>0</v>
      </c>
      <c r="M824" s="152"/>
      <c r="N824" s="402">
        <f t="shared" si="225"/>
        <v>0</v>
      </c>
      <c r="O824" s="402">
        <f t="shared" si="226"/>
        <v>0</v>
      </c>
      <c r="P824" s="403"/>
      <c r="Q824" s="152">
        <f t="shared" si="229"/>
        <v>0</v>
      </c>
      <c r="R824" s="152">
        <f t="shared" si="229"/>
        <v>0</v>
      </c>
      <c r="S824" s="402">
        <f t="shared" si="227"/>
        <v>0</v>
      </c>
      <c r="T824" s="404">
        <f t="shared" si="228"/>
        <v>0</v>
      </c>
      <c r="U824" s="403"/>
      <c r="W824" s="43" t="str">
        <f t="shared" si="230"/>
        <v/>
      </c>
      <c r="X824" s="43" t="str">
        <f t="shared" si="212"/>
        <v/>
      </c>
      <c r="Y824" s="43" t="str">
        <f t="shared" si="195"/>
        <v/>
      </c>
    </row>
    <row r="825" spans="1:25" hidden="1">
      <c r="A825" s="155">
        <v>83490</v>
      </c>
      <c r="B825" s="156" t="s">
        <v>241</v>
      </c>
      <c r="C825" s="411" t="s">
        <v>943</v>
      </c>
      <c r="D825" s="351"/>
      <c r="E825" s="405"/>
      <c r="F825" s="406"/>
      <c r="G825" s="158"/>
      <c r="H825" s="465">
        <v>121.24</v>
      </c>
      <c r="I825" s="465">
        <f t="shared" si="223"/>
        <v>121.24</v>
      </c>
      <c r="J825" s="407">
        <f t="shared" si="224"/>
        <v>153.72999999999999</v>
      </c>
      <c r="K825" s="408" t="s">
        <v>23</v>
      </c>
      <c r="L825" s="152">
        <v>0</v>
      </c>
      <c r="M825" s="152"/>
      <c r="N825" s="402">
        <f t="shared" si="225"/>
        <v>0</v>
      </c>
      <c r="O825" s="402">
        <f t="shared" si="226"/>
        <v>0</v>
      </c>
      <c r="P825" s="403"/>
      <c r="Q825" s="152">
        <f t="shared" si="229"/>
        <v>0</v>
      </c>
      <c r="R825" s="152">
        <f t="shared" si="229"/>
        <v>0</v>
      </c>
      <c r="S825" s="402">
        <f t="shared" si="227"/>
        <v>0</v>
      </c>
      <c r="T825" s="404">
        <f t="shared" si="228"/>
        <v>0</v>
      </c>
      <c r="U825" s="403"/>
      <c r="W825" s="43" t="str">
        <f t="shared" si="230"/>
        <v/>
      </c>
      <c r="X825" s="43" t="str">
        <f t="shared" si="212"/>
        <v/>
      </c>
      <c r="Y825" s="43" t="str">
        <f t="shared" si="195"/>
        <v/>
      </c>
    </row>
    <row r="826" spans="1:25" ht="25.5" hidden="1">
      <c r="A826" s="155">
        <v>83491</v>
      </c>
      <c r="B826" s="156" t="s">
        <v>241</v>
      </c>
      <c r="C826" s="411" t="s">
        <v>944</v>
      </c>
      <c r="D826" s="351"/>
      <c r="E826" s="405"/>
      <c r="F826" s="406"/>
      <c r="G826" s="158"/>
      <c r="H826" s="465">
        <v>474.43</v>
      </c>
      <c r="I826" s="465">
        <f t="shared" si="223"/>
        <v>474.43</v>
      </c>
      <c r="J826" s="407">
        <f t="shared" si="224"/>
        <v>601.58000000000004</v>
      </c>
      <c r="K826" s="408" t="s">
        <v>23</v>
      </c>
      <c r="L826" s="152">
        <v>0</v>
      </c>
      <c r="M826" s="152"/>
      <c r="N826" s="402">
        <f t="shared" si="225"/>
        <v>0</v>
      </c>
      <c r="O826" s="402">
        <f t="shared" si="226"/>
        <v>0</v>
      </c>
      <c r="P826" s="403"/>
      <c r="Q826" s="152">
        <f t="shared" si="229"/>
        <v>0</v>
      </c>
      <c r="R826" s="152">
        <f t="shared" si="229"/>
        <v>0</v>
      </c>
      <c r="S826" s="402">
        <f t="shared" si="227"/>
        <v>0</v>
      </c>
      <c r="T826" s="404">
        <f t="shared" si="228"/>
        <v>0</v>
      </c>
      <c r="U826" s="403"/>
      <c r="W826" s="43" t="str">
        <f t="shared" si="230"/>
        <v/>
      </c>
      <c r="X826" s="43" t="str">
        <f t="shared" si="212"/>
        <v/>
      </c>
      <c r="Y826" s="43" t="str">
        <f t="shared" si="195"/>
        <v/>
      </c>
    </row>
    <row r="827" spans="1:25" ht="25.5" hidden="1">
      <c r="A827" s="155">
        <v>83492</v>
      </c>
      <c r="B827" s="156" t="s">
        <v>241</v>
      </c>
      <c r="C827" s="411" t="s">
        <v>945</v>
      </c>
      <c r="D827" s="351"/>
      <c r="E827" s="405"/>
      <c r="F827" s="406"/>
      <c r="G827" s="158"/>
      <c r="H827" s="465">
        <v>461.53</v>
      </c>
      <c r="I827" s="465">
        <f t="shared" si="223"/>
        <v>461.53</v>
      </c>
      <c r="J827" s="407">
        <f t="shared" si="224"/>
        <v>585.22</v>
      </c>
      <c r="K827" s="408" t="s">
        <v>23</v>
      </c>
      <c r="L827" s="152">
        <v>0</v>
      </c>
      <c r="M827" s="152"/>
      <c r="N827" s="402">
        <f t="shared" si="225"/>
        <v>0</v>
      </c>
      <c r="O827" s="402">
        <f t="shared" si="226"/>
        <v>0</v>
      </c>
      <c r="P827" s="403"/>
      <c r="Q827" s="152">
        <f t="shared" si="229"/>
        <v>0</v>
      </c>
      <c r="R827" s="152">
        <f t="shared" si="229"/>
        <v>0</v>
      </c>
      <c r="S827" s="402">
        <f t="shared" si="227"/>
        <v>0</v>
      </c>
      <c r="T827" s="404">
        <f t="shared" si="228"/>
        <v>0</v>
      </c>
      <c r="U827" s="403"/>
      <c r="W827" s="43" t="str">
        <f t="shared" si="230"/>
        <v/>
      </c>
      <c r="X827" s="43" t="str">
        <f t="shared" si="212"/>
        <v/>
      </c>
      <c r="Y827" s="43" t="str">
        <f t="shared" si="195"/>
        <v/>
      </c>
    </row>
    <row r="828" spans="1:25" ht="38.25" hidden="1">
      <c r="A828" s="155" t="s">
        <v>888</v>
      </c>
      <c r="B828" s="156" t="s">
        <v>241</v>
      </c>
      <c r="C828" s="411" t="s">
        <v>946</v>
      </c>
      <c r="D828" s="351"/>
      <c r="E828" s="405"/>
      <c r="F828" s="406"/>
      <c r="G828" s="158"/>
      <c r="H828" s="465">
        <v>506.7</v>
      </c>
      <c r="I828" s="465">
        <f t="shared" si="223"/>
        <v>506.7</v>
      </c>
      <c r="J828" s="407">
        <f t="shared" si="224"/>
        <v>642.5</v>
      </c>
      <c r="K828" s="408" t="s">
        <v>23</v>
      </c>
      <c r="L828" s="152">
        <v>0</v>
      </c>
      <c r="M828" s="152"/>
      <c r="N828" s="402">
        <f t="shared" si="225"/>
        <v>0</v>
      </c>
      <c r="O828" s="402">
        <f t="shared" si="226"/>
        <v>0</v>
      </c>
      <c r="P828" s="403"/>
      <c r="Q828" s="152">
        <f t="shared" si="229"/>
        <v>0</v>
      </c>
      <c r="R828" s="152">
        <f t="shared" si="229"/>
        <v>0</v>
      </c>
      <c r="S828" s="402">
        <f t="shared" si="227"/>
        <v>0</v>
      </c>
      <c r="T828" s="404">
        <f t="shared" si="228"/>
        <v>0</v>
      </c>
      <c r="U828" s="403"/>
      <c r="W828" s="43" t="str">
        <f t="shared" si="230"/>
        <v/>
      </c>
      <c r="X828" s="43" t="str">
        <f t="shared" si="212"/>
        <v/>
      </c>
      <c r="Y828" s="43" t="str">
        <f t="shared" si="195"/>
        <v/>
      </c>
    </row>
    <row r="829" spans="1:25" ht="38.25" hidden="1">
      <c r="A829" s="155" t="s">
        <v>889</v>
      </c>
      <c r="B829" s="156" t="s">
        <v>241</v>
      </c>
      <c r="C829" s="411" t="s">
        <v>947</v>
      </c>
      <c r="D829" s="351"/>
      <c r="E829" s="405"/>
      <c r="F829" s="406"/>
      <c r="G829" s="158"/>
      <c r="H829" s="465">
        <v>496.71</v>
      </c>
      <c r="I829" s="465">
        <f t="shared" si="223"/>
        <v>496.71</v>
      </c>
      <c r="J829" s="407">
        <f t="shared" si="224"/>
        <v>629.83000000000004</v>
      </c>
      <c r="K829" s="408" t="s">
        <v>23</v>
      </c>
      <c r="L829" s="152">
        <v>0</v>
      </c>
      <c r="M829" s="152"/>
      <c r="N829" s="402">
        <f t="shared" si="225"/>
        <v>0</v>
      </c>
      <c r="O829" s="402">
        <f t="shared" si="226"/>
        <v>0</v>
      </c>
      <c r="P829" s="403"/>
      <c r="Q829" s="152">
        <f t="shared" si="229"/>
        <v>0</v>
      </c>
      <c r="R829" s="152">
        <f t="shared" si="229"/>
        <v>0</v>
      </c>
      <c r="S829" s="402">
        <f t="shared" si="227"/>
        <v>0</v>
      </c>
      <c r="T829" s="404">
        <f t="shared" si="228"/>
        <v>0</v>
      </c>
      <c r="U829" s="403"/>
      <c r="W829" s="43" t="str">
        <f t="shared" si="230"/>
        <v/>
      </c>
      <c r="X829" s="43" t="str">
        <f t="shared" si="212"/>
        <v/>
      </c>
      <c r="Y829" s="43" t="str">
        <f t="shared" si="195"/>
        <v/>
      </c>
    </row>
    <row r="830" spans="1:25" ht="38.25" hidden="1">
      <c r="A830" s="155" t="s">
        <v>890</v>
      </c>
      <c r="B830" s="156" t="s">
        <v>241</v>
      </c>
      <c r="C830" s="411" t="s">
        <v>948</v>
      </c>
      <c r="D830" s="351"/>
      <c r="E830" s="405"/>
      <c r="F830" s="406"/>
      <c r="G830" s="158"/>
      <c r="H830" s="465">
        <v>552.46</v>
      </c>
      <c r="I830" s="465">
        <f t="shared" si="223"/>
        <v>552.46</v>
      </c>
      <c r="J830" s="407">
        <f t="shared" si="224"/>
        <v>700.52</v>
      </c>
      <c r="K830" s="408" t="s">
        <v>23</v>
      </c>
      <c r="L830" s="152">
        <v>0</v>
      </c>
      <c r="M830" s="152"/>
      <c r="N830" s="402">
        <f t="shared" si="225"/>
        <v>0</v>
      </c>
      <c r="O830" s="402">
        <f t="shared" si="226"/>
        <v>0</v>
      </c>
      <c r="P830" s="403"/>
      <c r="Q830" s="152">
        <f t="shared" si="229"/>
        <v>0</v>
      </c>
      <c r="R830" s="152">
        <f t="shared" si="229"/>
        <v>0</v>
      </c>
      <c r="S830" s="402">
        <f t="shared" si="227"/>
        <v>0</v>
      </c>
      <c r="T830" s="404">
        <f t="shared" si="228"/>
        <v>0</v>
      </c>
      <c r="U830" s="403"/>
      <c r="W830" s="43" t="str">
        <f t="shared" si="230"/>
        <v/>
      </c>
      <c r="X830" s="43" t="str">
        <f t="shared" si="212"/>
        <v/>
      </c>
      <c r="Y830" s="43" t="str">
        <f t="shared" si="195"/>
        <v/>
      </c>
    </row>
    <row r="831" spans="1:25" ht="38.25" hidden="1">
      <c r="A831" s="155" t="s">
        <v>891</v>
      </c>
      <c r="B831" s="156" t="s">
        <v>241</v>
      </c>
      <c r="C831" s="411" t="s">
        <v>949</v>
      </c>
      <c r="D831" s="351"/>
      <c r="E831" s="405"/>
      <c r="F831" s="406"/>
      <c r="G831" s="158"/>
      <c r="H831" s="465">
        <v>647.12</v>
      </c>
      <c r="I831" s="465">
        <f t="shared" si="223"/>
        <v>647.12</v>
      </c>
      <c r="J831" s="407">
        <f t="shared" si="224"/>
        <v>820.55</v>
      </c>
      <c r="K831" s="408" t="s">
        <v>23</v>
      </c>
      <c r="L831" s="152">
        <v>0</v>
      </c>
      <c r="M831" s="152"/>
      <c r="N831" s="402">
        <f t="shared" si="225"/>
        <v>0</v>
      </c>
      <c r="O831" s="402">
        <f t="shared" si="226"/>
        <v>0</v>
      </c>
      <c r="P831" s="403"/>
      <c r="Q831" s="152">
        <f t="shared" si="229"/>
        <v>0</v>
      </c>
      <c r="R831" s="152">
        <f t="shared" si="229"/>
        <v>0</v>
      </c>
      <c r="S831" s="402">
        <f t="shared" si="227"/>
        <v>0</v>
      </c>
      <c r="T831" s="404">
        <f t="shared" si="228"/>
        <v>0</v>
      </c>
      <c r="U831" s="403"/>
      <c r="W831" s="43" t="str">
        <f t="shared" si="230"/>
        <v/>
      </c>
      <c r="X831" s="43" t="str">
        <f t="shared" si="212"/>
        <v/>
      </c>
      <c r="Y831" s="43" t="str">
        <f t="shared" si="195"/>
        <v/>
      </c>
    </row>
    <row r="832" spans="1:25" ht="38.25" hidden="1">
      <c r="A832" s="155" t="s">
        <v>892</v>
      </c>
      <c r="B832" s="156" t="s">
        <v>241</v>
      </c>
      <c r="C832" s="411" t="s">
        <v>950</v>
      </c>
      <c r="D832" s="351"/>
      <c r="E832" s="405"/>
      <c r="F832" s="406"/>
      <c r="G832" s="158"/>
      <c r="H832" s="465">
        <v>1129.6500000000001</v>
      </c>
      <c r="I832" s="465">
        <f t="shared" si="223"/>
        <v>1129.6500000000001</v>
      </c>
      <c r="J832" s="407">
        <f t="shared" si="224"/>
        <v>1432.4</v>
      </c>
      <c r="K832" s="408" t="s">
        <v>23</v>
      </c>
      <c r="L832" s="152">
        <v>0</v>
      </c>
      <c r="M832" s="152"/>
      <c r="N832" s="402">
        <f t="shared" si="225"/>
        <v>0</v>
      </c>
      <c r="O832" s="402">
        <f t="shared" si="226"/>
        <v>0</v>
      </c>
      <c r="P832" s="403"/>
      <c r="Q832" s="152">
        <f t="shared" si="229"/>
        <v>0</v>
      </c>
      <c r="R832" s="152">
        <f t="shared" si="229"/>
        <v>0</v>
      </c>
      <c r="S832" s="402">
        <f t="shared" si="227"/>
        <v>0</v>
      </c>
      <c r="T832" s="404">
        <f t="shared" si="228"/>
        <v>0</v>
      </c>
      <c r="U832" s="403"/>
      <c r="W832" s="43" t="str">
        <f t="shared" si="230"/>
        <v/>
      </c>
      <c r="X832" s="43" t="str">
        <f t="shared" si="212"/>
        <v/>
      </c>
      <c r="Y832" s="43" t="str">
        <f t="shared" si="195"/>
        <v/>
      </c>
    </row>
    <row r="833" spans="1:25" ht="38.25" hidden="1">
      <c r="A833" s="155" t="s">
        <v>893</v>
      </c>
      <c r="B833" s="156" t="s">
        <v>241</v>
      </c>
      <c r="C833" s="411" t="s">
        <v>951</v>
      </c>
      <c r="D833" s="351"/>
      <c r="E833" s="405"/>
      <c r="F833" s="406"/>
      <c r="G833" s="158"/>
      <c r="H833" s="465">
        <v>1132.0999999999999</v>
      </c>
      <c r="I833" s="465">
        <f t="shared" si="223"/>
        <v>1132.0999999999999</v>
      </c>
      <c r="J833" s="407">
        <f t="shared" si="224"/>
        <v>1435.5</v>
      </c>
      <c r="K833" s="408" t="s">
        <v>23</v>
      </c>
      <c r="L833" s="152">
        <v>0</v>
      </c>
      <c r="M833" s="152"/>
      <c r="N833" s="402">
        <f t="shared" si="225"/>
        <v>0</v>
      </c>
      <c r="O833" s="402">
        <f t="shared" si="226"/>
        <v>0</v>
      </c>
      <c r="P833" s="403"/>
      <c r="Q833" s="152">
        <f t="shared" si="229"/>
        <v>0</v>
      </c>
      <c r="R833" s="152">
        <f t="shared" si="229"/>
        <v>0</v>
      </c>
      <c r="S833" s="402">
        <f t="shared" si="227"/>
        <v>0</v>
      </c>
      <c r="T833" s="404">
        <f t="shared" si="228"/>
        <v>0</v>
      </c>
      <c r="U833" s="403"/>
      <c r="W833" s="43" t="str">
        <f t="shared" si="230"/>
        <v/>
      </c>
      <c r="X833" s="43" t="str">
        <f t="shared" si="212"/>
        <v/>
      </c>
      <c r="Y833" s="43" t="str">
        <f t="shared" si="195"/>
        <v/>
      </c>
    </row>
    <row r="834" spans="1:25" ht="38.25" hidden="1">
      <c r="A834" s="155" t="s">
        <v>894</v>
      </c>
      <c r="B834" s="156" t="s">
        <v>241</v>
      </c>
      <c r="C834" s="411" t="s">
        <v>952</v>
      </c>
      <c r="D834" s="351"/>
      <c r="E834" s="405"/>
      <c r="F834" s="406"/>
      <c r="G834" s="158"/>
      <c r="H834" s="465">
        <v>1350.85</v>
      </c>
      <c r="I834" s="465">
        <f t="shared" si="223"/>
        <v>1350.85</v>
      </c>
      <c r="J834" s="407">
        <f t="shared" si="224"/>
        <v>1712.88</v>
      </c>
      <c r="K834" s="408" t="s">
        <v>23</v>
      </c>
      <c r="L834" s="152">
        <v>0</v>
      </c>
      <c r="M834" s="152"/>
      <c r="N834" s="402">
        <f t="shared" si="225"/>
        <v>0</v>
      </c>
      <c r="O834" s="402">
        <f t="shared" si="226"/>
        <v>0</v>
      </c>
      <c r="P834" s="403"/>
      <c r="Q834" s="152">
        <f t="shared" si="229"/>
        <v>0</v>
      </c>
      <c r="R834" s="152">
        <f t="shared" si="229"/>
        <v>0</v>
      </c>
      <c r="S834" s="402">
        <f t="shared" si="227"/>
        <v>0</v>
      </c>
      <c r="T834" s="404">
        <f t="shared" si="228"/>
        <v>0</v>
      </c>
      <c r="U834" s="403"/>
      <c r="W834" s="43" t="str">
        <f t="shared" si="230"/>
        <v/>
      </c>
      <c r="X834" s="43" t="str">
        <f t="shared" si="212"/>
        <v/>
      </c>
      <c r="Y834" s="43" t="str">
        <f t="shared" si="195"/>
        <v/>
      </c>
    </row>
    <row r="835" spans="1:25" ht="38.25" hidden="1">
      <c r="A835" s="155" t="s">
        <v>895</v>
      </c>
      <c r="B835" s="156" t="s">
        <v>241</v>
      </c>
      <c r="C835" s="411" t="s">
        <v>953</v>
      </c>
      <c r="D835" s="351"/>
      <c r="E835" s="405"/>
      <c r="F835" s="406"/>
      <c r="G835" s="158"/>
      <c r="H835" s="465">
        <v>2077.3200000000002</v>
      </c>
      <c r="I835" s="465">
        <f t="shared" si="223"/>
        <v>2077.3200000000002</v>
      </c>
      <c r="J835" s="407">
        <f t="shared" si="224"/>
        <v>2634.04</v>
      </c>
      <c r="K835" s="408" t="s">
        <v>23</v>
      </c>
      <c r="L835" s="152">
        <v>0</v>
      </c>
      <c r="M835" s="152"/>
      <c r="N835" s="402">
        <f t="shared" si="225"/>
        <v>0</v>
      </c>
      <c r="O835" s="402">
        <f t="shared" si="226"/>
        <v>0</v>
      </c>
      <c r="P835" s="403"/>
      <c r="Q835" s="152">
        <f t="shared" si="229"/>
        <v>0</v>
      </c>
      <c r="R835" s="152">
        <f t="shared" si="229"/>
        <v>0</v>
      </c>
      <c r="S835" s="402">
        <f t="shared" si="227"/>
        <v>0</v>
      </c>
      <c r="T835" s="404">
        <f t="shared" si="228"/>
        <v>0</v>
      </c>
      <c r="U835" s="403"/>
      <c r="W835" s="43" t="str">
        <f t="shared" si="230"/>
        <v/>
      </c>
      <c r="X835" s="43" t="str">
        <f t="shared" si="212"/>
        <v/>
      </c>
      <c r="Y835" s="43" t="str">
        <f t="shared" si="195"/>
        <v/>
      </c>
    </row>
    <row r="836" spans="1:25" ht="38.25" hidden="1">
      <c r="A836" s="155" t="s">
        <v>896</v>
      </c>
      <c r="B836" s="156" t="s">
        <v>241</v>
      </c>
      <c r="C836" s="411" t="s">
        <v>954</v>
      </c>
      <c r="D836" s="351"/>
      <c r="E836" s="405"/>
      <c r="F836" s="406"/>
      <c r="G836" s="158"/>
      <c r="H836" s="465">
        <v>749.9</v>
      </c>
      <c r="I836" s="465">
        <f t="shared" si="223"/>
        <v>749.9</v>
      </c>
      <c r="J836" s="407">
        <f t="shared" si="224"/>
        <v>950.87</v>
      </c>
      <c r="K836" s="408" t="s">
        <v>23</v>
      </c>
      <c r="L836" s="152">
        <v>0</v>
      </c>
      <c r="M836" s="152"/>
      <c r="N836" s="402">
        <f t="shared" si="225"/>
        <v>0</v>
      </c>
      <c r="O836" s="402">
        <f t="shared" si="226"/>
        <v>0</v>
      </c>
      <c r="P836" s="403"/>
      <c r="Q836" s="152">
        <f t="shared" si="229"/>
        <v>0</v>
      </c>
      <c r="R836" s="152">
        <f t="shared" si="229"/>
        <v>0</v>
      </c>
      <c r="S836" s="402">
        <f t="shared" si="227"/>
        <v>0</v>
      </c>
      <c r="T836" s="404">
        <f t="shared" si="228"/>
        <v>0</v>
      </c>
      <c r="U836" s="403"/>
      <c r="W836" s="43" t="str">
        <f t="shared" si="230"/>
        <v/>
      </c>
      <c r="X836" s="43" t="str">
        <f t="shared" si="212"/>
        <v/>
      </c>
      <c r="Y836" s="43" t="str">
        <f t="shared" si="195"/>
        <v/>
      </c>
    </row>
    <row r="837" spans="1:25" ht="38.25" hidden="1">
      <c r="A837" s="155" t="s">
        <v>897</v>
      </c>
      <c r="B837" s="156" t="s">
        <v>241</v>
      </c>
      <c r="C837" s="411" t="s">
        <v>955</v>
      </c>
      <c r="D837" s="351"/>
      <c r="E837" s="405"/>
      <c r="F837" s="406"/>
      <c r="G837" s="158"/>
      <c r="H837" s="465">
        <v>844.13</v>
      </c>
      <c r="I837" s="465">
        <f t="shared" si="223"/>
        <v>844.13</v>
      </c>
      <c r="J837" s="407">
        <f t="shared" si="224"/>
        <v>1070.3599999999999</v>
      </c>
      <c r="K837" s="408" t="s">
        <v>23</v>
      </c>
      <c r="L837" s="152">
        <v>0</v>
      </c>
      <c r="M837" s="152"/>
      <c r="N837" s="402">
        <f t="shared" si="225"/>
        <v>0</v>
      </c>
      <c r="O837" s="402">
        <f t="shared" si="226"/>
        <v>0</v>
      </c>
      <c r="P837" s="403"/>
      <c r="Q837" s="152">
        <f t="shared" si="229"/>
        <v>0</v>
      </c>
      <c r="R837" s="152">
        <f t="shared" si="229"/>
        <v>0</v>
      </c>
      <c r="S837" s="402">
        <f t="shared" si="227"/>
        <v>0</v>
      </c>
      <c r="T837" s="404">
        <f t="shared" si="228"/>
        <v>0</v>
      </c>
      <c r="U837" s="403"/>
      <c r="W837" s="43" t="str">
        <f t="shared" si="230"/>
        <v/>
      </c>
      <c r="X837" s="43" t="str">
        <f t="shared" si="212"/>
        <v/>
      </c>
      <c r="Y837" s="43" t="str">
        <f t="shared" si="195"/>
        <v/>
      </c>
    </row>
    <row r="838" spans="1:25" ht="38.25" hidden="1">
      <c r="A838" s="155" t="s">
        <v>898</v>
      </c>
      <c r="B838" s="156" t="s">
        <v>241</v>
      </c>
      <c r="C838" s="411" t="s">
        <v>956</v>
      </c>
      <c r="D838" s="351"/>
      <c r="E838" s="405"/>
      <c r="F838" s="406"/>
      <c r="G838" s="158"/>
      <c r="H838" s="465">
        <v>908.36</v>
      </c>
      <c r="I838" s="465">
        <f t="shared" si="223"/>
        <v>908.36</v>
      </c>
      <c r="J838" s="407">
        <f t="shared" si="224"/>
        <v>1151.8</v>
      </c>
      <c r="K838" s="408" t="s">
        <v>23</v>
      </c>
      <c r="L838" s="152">
        <v>0</v>
      </c>
      <c r="M838" s="152"/>
      <c r="N838" s="402">
        <f t="shared" si="225"/>
        <v>0</v>
      </c>
      <c r="O838" s="402">
        <f t="shared" si="226"/>
        <v>0</v>
      </c>
      <c r="P838" s="403"/>
      <c r="Q838" s="152">
        <f t="shared" si="229"/>
        <v>0</v>
      </c>
      <c r="R838" s="152">
        <f t="shared" si="229"/>
        <v>0</v>
      </c>
      <c r="S838" s="402">
        <f t="shared" si="227"/>
        <v>0</v>
      </c>
      <c r="T838" s="404">
        <f t="shared" si="228"/>
        <v>0</v>
      </c>
      <c r="U838" s="403"/>
      <c r="W838" s="43" t="str">
        <f t="shared" si="230"/>
        <v/>
      </c>
      <c r="X838" s="43" t="str">
        <f t="shared" si="212"/>
        <v/>
      </c>
      <c r="Y838" s="43" t="str">
        <f t="shared" si="195"/>
        <v/>
      </c>
    </row>
    <row r="839" spans="1:25" ht="38.25" hidden="1">
      <c r="A839" s="155" t="s">
        <v>899</v>
      </c>
      <c r="B839" s="156" t="s">
        <v>241</v>
      </c>
      <c r="C839" s="411" t="s">
        <v>957</v>
      </c>
      <c r="D839" s="351"/>
      <c r="E839" s="405"/>
      <c r="F839" s="406"/>
      <c r="G839" s="158"/>
      <c r="H839" s="465">
        <v>1082.46</v>
      </c>
      <c r="I839" s="465">
        <f t="shared" si="223"/>
        <v>1082.46</v>
      </c>
      <c r="J839" s="407">
        <f t="shared" si="224"/>
        <v>1372.56</v>
      </c>
      <c r="K839" s="408" t="s">
        <v>23</v>
      </c>
      <c r="L839" s="152">
        <v>0</v>
      </c>
      <c r="M839" s="152"/>
      <c r="N839" s="402">
        <f t="shared" si="225"/>
        <v>0</v>
      </c>
      <c r="O839" s="402">
        <f t="shared" si="226"/>
        <v>0</v>
      </c>
      <c r="P839" s="403"/>
      <c r="Q839" s="152">
        <f t="shared" si="229"/>
        <v>0</v>
      </c>
      <c r="R839" s="152">
        <f t="shared" si="229"/>
        <v>0</v>
      </c>
      <c r="S839" s="402">
        <f t="shared" si="227"/>
        <v>0</v>
      </c>
      <c r="T839" s="404">
        <f t="shared" si="228"/>
        <v>0</v>
      </c>
      <c r="U839" s="403"/>
      <c r="W839" s="43" t="str">
        <f t="shared" si="230"/>
        <v/>
      </c>
      <c r="X839" s="43" t="str">
        <f t="shared" si="212"/>
        <v/>
      </c>
      <c r="Y839" s="43" t="str">
        <f t="shared" si="195"/>
        <v/>
      </c>
    </row>
    <row r="840" spans="1:25" ht="38.25" hidden="1">
      <c r="A840" s="155" t="s">
        <v>900</v>
      </c>
      <c r="B840" s="156" t="s">
        <v>241</v>
      </c>
      <c r="C840" s="411" t="s">
        <v>958</v>
      </c>
      <c r="D840" s="351"/>
      <c r="E840" s="405"/>
      <c r="F840" s="406"/>
      <c r="G840" s="158"/>
      <c r="H840" s="465">
        <v>1431.76</v>
      </c>
      <c r="I840" s="465">
        <f t="shared" ref="I840:I841" si="231">IF(ISBLANK(H840),"",SUM(G840:H840))</f>
        <v>1431.76</v>
      </c>
      <c r="J840" s="407">
        <f t="shared" si="224"/>
        <v>1815.47</v>
      </c>
      <c r="K840" s="408" t="s">
        <v>23</v>
      </c>
      <c r="L840" s="152">
        <v>0</v>
      </c>
      <c r="M840" s="152"/>
      <c r="N840" s="402">
        <f t="shared" si="225"/>
        <v>0</v>
      </c>
      <c r="O840" s="402">
        <f t="shared" si="226"/>
        <v>0</v>
      </c>
      <c r="P840" s="403"/>
      <c r="Q840" s="152">
        <f t="shared" si="229"/>
        <v>0</v>
      </c>
      <c r="R840" s="152">
        <f t="shared" si="229"/>
        <v>0</v>
      </c>
      <c r="S840" s="402">
        <f t="shared" si="227"/>
        <v>0</v>
      </c>
      <c r="T840" s="404">
        <f t="shared" si="228"/>
        <v>0</v>
      </c>
      <c r="U840" s="403"/>
      <c r="W840" s="43" t="str">
        <f t="shared" si="230"/>
        <v/>
      </c>
      <c r="X840" s="43" t="str">
        <f t="shared" si="212"/>
        <v/>
      </c>
      <c r="Y840" s="43" t="str">
        <f t="shared" si="195"/>
        <v/>
      </c>
    </row>
    <row r="841" spans="1:25" ht="25.5" hidden="1">
      <c r="A841" s="155">
        <v>83394</v>
      </c>
      <c r="B841" s="156" t="s">
        <v>241</v>
      </c>
      <c r="C841" s="411" t="s">
        <v>959</v>
      </c>
      <c r="D841" s="351"/>
      <c r="E841" s="405"/>
      <c r="F841" s="406"/>
      <c r="G841" s="158"/>
      <c r="H841" s="465">
        <v>941.91</v>
      </c>
      <c r="I841" s="465">
        <f t="shared" si="231"/>
        <v>941.91</v>
      </c>
      <c r="J841" s="407">
        <f t="shared" si="224"/>
        <v>1194.3399999999999</v>
      </c>
      <c r="K841" s="408" t="s">
        <v>23</v>
      </c>
      <c r="L841" s="152">
        <v>0</v>
      </c>
      <c r="M841" s="152"/>
      <c r="N841" s="402">
        <f t="shared" si="225"/>
        <v>0</v>
      </c>
      <c r="O841" s="402">
        <f t="shared" si="226"/>
        <v>0</v>
      </c>
      <c r="P841" s="403"/>
      <c r="Q841" s="152">
        <f t="shared" si="229"/>
        <v>0</v>
      </c>
      <c r="R841" s="152">
        <f t="shared" si="229"/>
        <v>0</v>
      </c>
      <c r="S841" s="402">
        <f t="shared" si="227"/>
        <v>0</v>
      </c>
      <c r="T841" s="404">
        <f t="shared" si="228"/>
        <v>0</v>
      </c>
      <c r="U841" s="403"/>
      <c r="W841" s="43" t="str">
        <f t="shared" si="230"/>
        <v/>
      </c>
      <c r="X841" s="43" t="str">
        <f t="shared" si="212"/>
        <v/>
      </c>
      <c r="Y841" s="43" t="str">
        <f t="shared" si="195"/>
        <v/>
      </c>
    </row>
    <row r="842" spans="1:25" ht="25.5" hidden="1">
      <c r="A842" s="155">
        <v>83396</v>
      </c>
      <c r="B842" s="156" t="s">
        <v>241</v>
      </c>
      <c r="C842" s="411" t="s">
        <v>960</v>
      </c>
      <c r="D842" s="351"/>
      <c r="E842" s="405"/>
      <c r="F842" s="406"/>
      <c r="G842" s="158"/>
      <c r="H842" s="465">
        <v>853.89</v>
      </c>
      <c r="I842" s="465">
        <f t="shared" ref="I842:I855" si="232">IF(ISBLANK(H842),"",SUM(G842:H842))</f>
        <v>853.89</v>
      </c>
      <c r="J842" s="407">
        <f t="shared" ref="J842:J855" si="233">IF(ISBLANK(H842),0,ROUND(I842*(1+$E$10)*(1+$E$11*D842),2))</f>
        <v>1082.73</v>
      </c>
      <c r="K842" s="408" t="s">
        <v>23</v>
      </c>
      <c r="L842" s="152">
        <v>0</v>
      </c>
      <c r="M842" s="152"/>
      <c r="N842" s="402">
        <f t="shared" ref="N842:N855" si="234">IF(ISBLANK(L842),0,ROUND(J842*L842,2))</f>
        <v>0</v>
      </c>
      <c r="O842" s="402">
        <f t="shared" ref="O842:O855" si="235">IF(ISBLANK(M842),0,ROUND(L842*M842,2))</f>
        <v>0</v>
      </c>
      <c r="P842" s="403"/>
      <c r="Q842" s="152">
        <f t="shared" si="229"/>
        <v>0</v>
      </c>
      <c r="R842" s="152">
        <f t="shared" si="229"/>
        <v>0</v>
      </c>
      <c r="S842" s="402">
        <f t="shared" ref="S842:S855" si="236">IF(ISBLANK(Q842),0,ROUND(J842*Q842,2))</f>
        <v>0</v>
      </c>
      <c r="T842" s="404">
        <f t="shared" ref="T842:T855" si="237">IF(ISBLANK(Q842),0,ROUND(Q842*R842,2))</f>
        <v>0</v>
      </c>
      <c r="U842" s="403"/>
      <c r="W842" s="43" t="str">
        <f t="shared" si="230"/>
        <v/>
      </c>
      <c r="X842" s="43" t="str">
        <f t="shared" si="212"/>
        <v/>
      </c>
      <c r="Y842" s="43" t="str">
        <f t="shared" si="195"/>
        <v/>
      </c>
    </row>
    <row r="843" spans="1:25" ht="25.5" hidden="1">
      <c r="A843" s="155">
        <v>83397</v>
      </c>
      <c r="B843" s="156" t="s">
        <v>241</v>
      </c>
      <c r="C843" s="411" t="s">
        <v>961</v>
      </c>
      <c r="D843" s="351"/>
      <c r="E843" s="405"/>
      <c r="F843" s="406"/>
      <c r="G843" s="158"/>
      <c r="H843" s="465">
        <v>1140.1500000000001</v>
      </c>
      <c r="I843" s="465">
        <f t="shared" si="232"/>
        <v>1140.1500000000001</v>
      </c>
      <c r="J843" s="407">
        <f t="shared" si="233"/>
        <v>1445.71</v>
      </c>
      <c r="K843" s="408" t="s">
        <v>23</v>
      </c>
      <c r="L843" s="152">
        <v>0</v>
      </c>
      <c r="M843" s="152"/>
      <c r="N843" s="402">
        <f t="shared" si="234"/>
        <v>0</v>
      </c>
      <c r="O843" s="402">
        <f t="shared" si="235"/>
        <v>0</v>
      </c>
      <c r="P843" s="403"/>
      <c r="Q843" s="152">
        <f t="shared" ref="Q843:R855" si="238">L843</f>
        <v>0</v>
      </c>
      <c r="R843" s="152">
        <f t="shared" si="238"/>
        <v>0</v>
      </c>
      <c r="S843" s="402">
        <f t="shared" si="236"/>
        <v>0</v>
      </c>
      <c r="T843" s="404">
        <f t="shared" si="237"/>
        <v>0</v>
      </c>
      <c r="U843" s="403"/>
      <c r="W843" s="43" t="str">
        <f t="shared" si="230"/>
        <v/>
      </c>
      <c r="X843" s="43" t="str">
        <f t="shared" si="212"/>
        <v/>
      </c>
      <c r="Y843" s="43" t="str">
        <f t="shared" si="195"/>
        <v/>
      </c>
    </row>
    <row r="844" spans="1:25" ht="25.5" hidden="1">
      <c r="A844" s="155">
        <v>83398</v>
      </c>
      <c r="B844" s="156" t="s">
        <v>241</v>
      </c>
      <c r="C844" s="411" t="s">
        <v>962</v>
      </c>
      <c r="D844" s="351"/>
      <c r="E844" s="405"/>
      <c r="F844" s="406"/>
      <c r="G844" s="158"/>
      <c r="H844" s="465">
        <v>993.47</v>
      </c>
      <c r="I844" s="465">
        <f t="shared" si="232"/>
        <v>993.47</v>
      </c>
      <c r="J844" s="407">
        <f t="shared" si="233"/>
        <v>1259.72</v>
      </c>
      <c r="K844" s="408" t="s">
        <v>23</v>
      </c>
      <c r="L844" s="152">
        <v>0</v>
      </c>
      <c r="M844" s="152"/>
      <c r="N844" s="402">
        <f t="shared" si="234"/>
        <v>0</v>
      </c>
      <c r="O844" s="402">
        <f t="shared" si="235"/>
        <v>0</v>
      </c>
      <c r="P844" s="403"/>
      <c r="Q844" s="152">
        <f t="shared" si="238"/>
        <v>0</v>
      </c>
      <c r="R844" s="152">
        <f t="shared" si="238"/>
        <v>0</v>
      </c>
      <c r="S844" s="402">
        <f t="shared" si="236"/>
        <v>0</v>
      </c>
      <c r="T844" s="404">
        <f t="shared" si="237"/>
        <v>0</v>
      </c>
      <c r="U844" s="403"/>
      <c r="W844" s="43" t="str">
        <f t="shared" si="230"/>
        <v/>
      </c>
      <c r="X844" s="43" t="str">
        <f t="shared" si="212"/>
        <v/>
      </c>
      <c r="Y844" s="43" t="str">
        <f t="shared" si="195"/>
        <v/>
      </c>
    </row>
    <row r="845" spans="1:25" ht="25.5" hidden="1">
      <c r="A845" s="155" t="s">
        <v>901</v>
      </c>
      <c r="B845" s="156" t="s">
        <v>241</v>
      </c>
      <c r="C845" s="411" t="s">
        <v>963</v>
      </c>
      <c r="D845" s="351"/>
      <c r="E845" s="405"/>
      <c r="F845" s="406"/>
      <c r="G845" s="158"/>
      <c r="H845" s="465">
        <v>1561.61</v>
      </c>
      <c r="I845" s="465">
        <f t="shared" si="232"/>
        <v>1561.61</v>
      </c>
      <c r="J845" s="407">
        <f t="shared" si="233"/>
        <v>1980.12</v>
      </c>
      <c r="K845" s="408" t="s">
        <v>23</v>
      </c>
      <c r="L845" s="152">
        <v>0</v>
      </c>
      <c r="M845" s="152"/>
      <c r="N845" s="402">
        <f t="shared" si="234"/>
        <v>0</v>
      </c>
      <c r="O845" s="402">
        <f t="shared" si="235"/>
        <v>0</v>
      </c>
      <c r="P845" s="403"/>
      <c r="Q845" s="152">
        <f t="shared" si="238"/>
        <v>0</v>
      </c>
      <c r="R845" s="152">
        <f t="shared" si="238"/>
        <v>0</v>
      </c>
      <c r="S845" s="402">
        <f t="shared" si="236"/>
        <v>0</v>
      </c>
      <c r="T845" s="404">
        <f t="shared" si="237"/>
        <v>0</v>
      </c>
      <c r="U845" s="403"/>
      <c r="W845" s="43" t="str">
        <f t="shared" si="230"/>
        <v/>
      </c>
      <c r="X845" s="43" t="str">
        <f t="shared" si="212"/>
        <v/>
      </c>
      <c r="Y845" s="43" t="str">
        <f t="shared" si="195"/>
        <v/>
      </c>
    </row>
    <row r="846" spans="1:25" ht="25.5" hidden="1">
      <c r="A846" s="155" t="s">
        <v>902</v>
      </c>
      <c r="B846" s="156" t="s">
        <v>241</v>
      </c>
      <c r="C846" s="411" t="s">
        <v>964</v>
      </c>
      <c r="D846" s="351"/>
      <c r="E846" s="405"/>
      <c r="F846" s="406"/>
      <c r="G846" s="158"/>
      <c r="H846" s="465">
        <v>1563.67</v>
      </c>
      <c r="I846" s="465">
        <f t="shared" si="232"/>
        <v>1563.67</v>
      </c>
      <c r="J846" s="407">
        <f t="shared" si="233"/>
        <v>1982.73</v>
      </c>
      <c r="K846" s="408" t="s">
        <v>23</v>
      </c>
      <c r="L846" s="152">
        <v>0</v>
      </c>
      <c r="M846" s="152"/>
      <c r="N846" s="402">
        <f t="shared" si="234"/>
        <v>0</v>
      </c>
      <c r="O846" s="402">
        <f t="shared" si="235"/>
        <v>0</v>
      </c>
      <c r="P846" s="403"/>
      <c r="Q846" s="152">
        <f t="shared" si="238"/>
        <v>0</v>
      </c>
      <c r="R846" s="152">
        <f t="shared" si="238"/>
        <v>0</v>
      </c>
      <c r="S846" s="402">
        <f t="shared" si="236"/>
        <v>0</v>
      </c>
      <c r="T846" s="404">
        <f t="shared" si="237"/>
        <v>0</v>
      </c>
      <c r="U846" s="403"/>
      <c r="W846" s="43" t="str">
        <f t="shared" si="230"/>
        <v/>
      </c>
      <c r="X846" s="43" t="str">
        <f t="shared" si="212"/>
        <v/>
      </c>
      <c r="Y846" s="43" t="str">
        <f t="shared" si="195"/>
        <v/>
      </c>
    </row>
    <row r="847" spans="1:25" ht="25.5" hidden="1">
      <c r="A847" s="155" t="s">
        <v>903</v>
      </c>
      <c r="B847" s="156" t="s">
        <v>241</v>
      </c>
      <c r="C847" s="411" t="s">
        <v>965</v>
      </c>
      <c r="D847" s="351"/>
      <c r="E847" s="405"/>
      <c r="F847" s="406"/>
      <c r="G847" s="158"/>
      <c r="H847" s="465">
        <v>1612.6</v>
      </c>
      <c r="I847" s="465">
        <f t="shared" si="232"/>
        <v>1612.6</v>
      </c>
      <c r="J847" s="407">
        <f t="shared" si="233"/>
        <v>2044.78</v>
      </c>
      <c r="K847" s="408" t="s">
        <v>23</v>
      </c>
      <c r="L847" s="152">
        <v>0</v>
      </c>
      <c r="M847" s="152"/>
      <c r="N847" s="402">
        <f t="shared" si="234"/>
        <v>0</v>
      </c>
      <c r="O847" s="402">
        <f t="shared" si="235"/>
        <v>0</v>
      </c>
      <c r="P847" s="403"/>
      <c r="Q847" s="152">
        <f t="shared" si="238"/>
        <v>0</v>
      </c>
      <c r="R847" s="152">
        <f t="shared" si="238"/>
        <v>0</v>
      </c>
      <c r="S847" s="402">
        <f t="shared" si="236"/>
        <v>0</v>
      </c>
      <c r="T847" s="404">
        <f t="shared" si="237"/>
        <v>0</v>
      </c>
      <c r="U847" s="403"/>
      <c r="W847" s="43" t="str">
        <f t="shared" si="230"/>
        <v/>
      </c>
      <c r="X847" s="43" t="str">
        <f t="shared" si="212"/>
        <v/>
      </c>
      <c r="Y847" s="43" t="str">
        <f t="shared" si="195"/>
        <v/>
      </c>
    </row>
    <row r="848" spans="1:25" ht="25.5" hidden="1">
      <c r="A848" s="155" t="s">
        <v>904</v>
      </c>
      <c r="B848" s="156" t="s">
        <v>241</v>
      </c>
      <c r="C848" s="411" t="s">
        <v>966</v>
      </c>
      <c r="D848" s="351"/>
      <c r="E848" s="405"/>
      <c r="F848" s="406"/>
      <c r="G848" s="158"/>
      <c r="H848" s="465">
        <v>1627.86</v>
      </c>
      <c r="I848" s="465">
        <f t="shared" si="232"/>
        <v>1627.86</v>
      </c>
      <c r="J848" s="407">
        <f t="shared" si="233"/>
        <v>2064.13</v>
      </c>
      <c r="K848" s="408" t="s">
        <v>23</v>
      </c>
      <c r="L848" s="152">
        <v>0</v>
      </c>
      <c r="M848" s="152"/>
      <c r="N848" s="402">
        <f t="shared" si="234"/>
        <v>0</v>
      </c>
      <c r="O848" s="402">
        <f t="shared" si="235"/>
        <v>0</v>
      </c>
      <c r="P848" s="403"/>
      <c r="Q848" s="152">
        <f t="shared" si="238"/>
        <v>0</v>
      </c>
      <c r="R848" s="152">
        <f t="shared" si="238"/>
        <v>0</v>
      </c>
      <c r="S848" s="402">
        <f t="shared" si="236"/>
        <v>0</v>
      </c>
      <c r="T848" s="404">
        <f t="shared" si="237"/>
        <v>0</v>
      </c>
      <c r="U848" s="403"/>
      <c r="W848" s="43" t="str">
        <f t="shared" si="230"/>
        <v/>
      </c>
      <c r="X848" s="43" t="str">
        <f t="shared" si="212"/>
        <v/>
      </c>
      <c r="Y848" s="43" t="str">
        <f t="shared" si="195"/>
        <v/>
      </c>
    </row>
    <row r="849" spans="1:25" ht="38.25" hidden="1">
      <c r="A849" s="155">
        <v>83400</v>
      </c>
      <c r="B849" s="156" t="s">
        <v>241</v>
      </c>
      <c r="C849" s="411" t="s">
        <v>967</v>
      </c>
      <c r="D849" s="351"/>
      <c r="E849" s="405"/>
      <c r="F849" s="406"/>
      <c r="G849" s="158"/>
      <c r="H849" s="465">
        <v>82.94</v>
      </c>
      <c r="I849" s="465">
        <f t="shared" si="232"/>
        <v>82.94</v>
      </c>
      <c r="J849" s="407">
        <f t="shared" si="233"/>
        <v>105.17</v>
      </c>
      <c r="K849" s="408" t="s">
        <v>23</v>
      </c>
      <c r="L849" s="152">
        <v>0</v>
      </c>
      <c r="M849" s="152"/>
      <c r="N849" s="402">
        <f t="shared" si="234"/>
        <v>0</v>
      </c>
      <c r="O849" s="402">
        <f t="shared" si="235"/>
        <v>0</v>
      </c>
      <c r="P849" s="403"/>
      <c r="Q849" s="152">
        <f t="shared" si="238"/>
        <v>0</v>
      </c>
      <c r="R849" s="152">
        <f t="shared" si="238"/>
        <v>0</v>
      </c>
      <c r="S849" s="402">
        <f t="shared" si="236"/>
        <v>0</v>
      </c>
      <c r="T849" s="404">
        <f t="shared" si="237"/>
        <v>0</v>
      </c>
      <c r="U849" s="403"/>
      <c r="W849" s="43" t="str">
        <f t="shared" si="230"/>
        <v/>
      </c>
      <c r="X849" s="43" t="str">
        <f t="shared" si="212"/>
        <v/>
      </c>
      <c r="Y849" s="43" t="str">
        <f t="shared" si="195"/>
        <v/>
      </c>
    </row>
    <row r="850" spans="1:25" ht="25.5" hidden="1">
      <c r="A850" s="155">
        <v>83401</v>
      </c>
      <c r="B850" s="156" t="s">
        <v>241</v>
      </c>
      <c r="C850" s="411" t="s">
        <v>968</v>
      </c>
      <c r="D850" s="351"/>
      <c r="E850" s="405"/>
      <c r="F850" s="406"/>
      <c r="G850" s="158"/>
      <c r="H850" s="465">
        <v>82.94</v>
      </c>
      <c r="I850" s="465">
        <f t="shared" si="232"/>
        <v>82.94</v>
      </c>
      <c r="J850" s="407">
        <f t="shared" si="233"/>
        <v>105.17</v>
      </c>
      <c r="K850" s="408" t="s">
        <v>23</v>
      </c>
      <c r="L850" s="152">
        <v>0</v>
      </c>
      <c r="M850" s="152"/>
      <c r="N850" s="402">
        <f t="shared" si="234"/>
        <v>0</v>
      </c>
      <c r="O850" s="402">
        <f t="shared" si="235"/>
        <v>0</v>
      </c>
      <c r="P850" s="403"/>
      <c r="Q850" s="152">
        <f t="shared" si="238"/>
        <v>0</v>
      </c>
      <c r="R850" s="152">
        <f t="shared" si="238"/>
        <v>0</v>
      </c>
      <c r="S850" s="402">
        <f t="shared" si="236"/>
        <v>0</v>
      </c>
      <c r="T850" s="404">
        <f t="shared" si="237"/>
        <v>0</v>
      </c>
      <c r="U850" s="403"/>
      <c r="W850" s="43" t="str">
        <f t="shared" si="230"/>
        <v/>
      </c>
      <c r="X850" s="43" t="str">
        <f t="shared" si="212"/>
        <v/>
      </c>
      <c r="Y850" s="43" t="str">
        <f t="shared" si="195"/>
        <v/>
      </c>
    </row>
    <row r="851" spans="1:25" ht="25.5" hidden="1">
      <c r="A851" s="155">
        <v>83402</v>
      </c>
      <c r="B851" s="156" t="s">
        <v>241</v>
      </c>
      <c r="C851" s="411" t="s">
        <v>969</v>
      </c>
      <c r="D851" s="351"/>
      <c r="E851" s="405"/>
      <c r="F851" s="406"/>
      <c r="G851" s="158"/>
      <c r="H851" s="465">
        <v>41.52</v>
      </c>
      <c r="I851" s="465">
        <f t="shared" si="232"/>
        <v>41.52</v>
      </c>
      <c r="J851" s="407">
        <f t="shared" si="233"/>
        <v>52.65</v>
      </c>
      <c r="K851" s="408" t="s">
        <v>23</v>
      </c>
      <c r="L851" s="152">
        <v>0</v>
      </c>
      <c r="M851" s="152"/>
      <c r="N851" s="402">
        <f t="shared" si="234"/>
        <v>0</v>
      </c>
      <c r="O851" s="402">
        <f t="shared" si="235"/>
        <v>0</v>
      </c>
      <c r="P851" s="403"/>
      <c r="Q851" s="152">
        <f t="shared" si="238"/>
        <v>0</v>
      </c>
      <c r="R851" s="152">
        <f t="shared" si="238"/>
        <v>0</v>
      </c>
      <c r="S851" s="402">
        <f t="shared" si="236"/>
        <v>0</v>
      </c>
      <c r="T851" s="404">
        <f t="shared" si="237"/>
        <v>0</v>
      </c>
      <c r="U851" s="403"/>
      <c r="W851" s="43" t="str">
        <f t="shared" si="230"/>
        <v/>
      </c>
      <c r="X851" s="43" t="str">
        <f t="shared" si="212"/>
        <v/>
      </c>
      <c r="Y851" s="43" t="str">
        <f t="shared" si="195"/>
        <v/>
      </c>
    </row>
    <row r="852" spans="1:25" ht="51" hidden="1">
      <c r="A852" s="155" t="s">
        <v>905</v>
      </c>
      <c r="B852" s="156" t="s">
        <v>241</v>
      </c>
      <c r="C852" s="411" t="s">
        <v>970</v>
      </c>
      <c r="D852" s="351"/>
      <c r="E852" s="405"/>
      <c r="F852" s="406"/>
      <c r="G852" s="158"/>
      <c r="H852" s="465">
        <v>113.37</v>
      </c>
      <c r="I852" s="465">
        <f t="shared" si="232"/>
        <v>113.37</v>
      </c>
      <c r="J852" s="407">
        <f t="shared" si="233"/>
        <v>143.75</v>
      </c>
      <c r="K852" s="408" t="s">
        <v>23</v>
      </c>
      <c r="L852" s="152">
        <v>0</v>
      </c>
      <c r="M852" s="152"/>
      <c r="N852" s="402">
        <f t="shared" si="234"/>
        <v>0</v>
      </c>
      <c r="O852" s="402">
        <f t="shared" si="235"/>
        <v>0</v>
      </c>
      <c r="P852" s="403"/>
      <c r="Q852" s="152">
        <f t="shared" si="238"/>
        <v>0</v>
      </c>
      <c r="R852" s="152">
        <f t="shared" si="238"/>
        <v>0</v>
      </c>
      <c r="S852" s="402">
        <f t="shared" si="236"/>
        <v>0</v>
      </c>
      <c r="T852" s="404">
        <f t="shared" si="237"/>
        <v>0</v>
      </c>
      <c r="U852" s="403"/>
      <c r="W852" s="43" t="str">
        <f t="shared" si="230"/>
        <v/>
      </c>
      <c r="X852" s="43" t="str">
        <f t="shared" si="212"/>
        <v/>
      </c>
      <c r="Y852" s="43" t="str">
        <f t="shared" si="195"/>
        <v/>
      </c>
    </row>
    <row r="853" spans="1:25" ht="38.25" hidden="1">
      <c r="A853" s="155">
        <v>83475</v>
      </c>
      <c r="B853" s="156" t="s">
        <v>241</v>
      </c>
      <c r="C853" s="411" t="s">
        <v>971</v>
      </c>
      <c r="D853" s="351"/>
      <c r="E853" s="405"/>
      <c r="F853" s="406"/>
      <c r="G853" s="158"/>
      <c r="H853" s="465">
        <v>267.95</v>
      </c>
      <c r="I853" s="465">
        <f t="shared" si="232"/>
        <v>267.95</v>
      </c>
      <c r="J853" s="407">
        <f t="shared" si="233"/>
        <v>339.76</v>
      </c>
      <c r="K853" s="408" t="s">
        <v>23</v>
      </c>
      <c r="L853" s="152">
        <v>0</v>
      </c>
      <c r="M853" s="152"/>
      <c r="N853" s="402">
        <f t="shared" si="234"/>
        <v>0</v>
      </c>
      <c r="O853" s="402">
        <f t="shared" si="235"/>
        <v>0</v>
      </c>
      <c r="P853" s="403"/>
      <c r="Q853" s="152">
        <f t="shared" si="238"/>
        <v>0</v>
      </c>
      <c r="R853" s="152">
        <f t="shared" si="238"/>
        <v>0</v>
      </c>
      <c r="S853" s="402">
        <f t="shared" si="236"/>
        <v>0</v>
      </c>
      <c r="T853" s="404">
        <f t="shared" si="237"/>
        <v>0</v>
      </c>
      <c r="U853" s="403"/>
      <c r="W853" s="43" t="str">
        <f t="shared" si="230"/>
        <v/>
      </c>
      <c r="X853" s="43" t="str">
        <f t="shared" si="212"/>
        <v/>
      </c>
      <c r="Y853" s="43" t="str">
        <f t="shared" si="195"/>
        <v/>
      </c>
    </row>
    <row r="854" spans="1:25" ht="25.5" hidden="1">
      <c r="A854" s="155">
        <v>83478</v>
      </c>
      <c r="B854" s="156" t="s">
        <v>241</v>
      </c>
      <c r="C854" s="411" t="s">
        <v>972</v>
      </c>
      <c r="D854" s="351"/>
      <c r="E854" s="405"/>
      <c r="F854" s="406"/>
      <c r="G854" s="158"/>
      <c r="H854" s="465">
        <v>193.79</v>
      </c>
      <c r="I854" s="465">
        <f t="shared" ref="I854" si="239">IF(ISBLANK(H854),"",SUM(G854:H854))</f>
        <v>193.79</v>
      </c>
      <c r="J854" s="407">
        <f t="shared" si="233"/>
        <v>245.73</v>
      </c>
      <c r="K854" s="408" t="s">
        <v>23</v>
      </c>
      <c r="L854" s="152">
        <v>0</v>
      </c>
      <c r="M854" s="152"/>
      <c r="N854" s="402">
        <f t="shared" si="234"/>
        <v>0</v>
      </c>
      <c r="O854" s="402">
        <f t="shared" si="235"/>
        <v>0</v>
      </c>
      <c r="P854" s="403"/>
      <c r="Q854" s="152">
        <f t="shared" si="238"/>
        <v>0</v>
      </c>
      <c r="R854" s="152">
        <f t="shared" si="238"/>
        <v>0</v>
      </c>
      <c r="S854" s="402">
        <f t="shared" si="236"/>
        <v>0</v>
      </c>
      <c r="T854" s="404">
        <f t="shared" si="237"/>
        <v>0</v>
      </c>
      <c r="U854" s="403"/>
      <c r="W854" s="43" t="str">
        <f t="shared" si="230"/>
        <v/>
      </c>
      <c r="X854" s="43" t="str">
        <f t="shared" si="212"/>
        <v/>
      </c>
      <c r="Y854" s="43" t="str">
        <f t="shared" si="195"/>
        <v/>
      </c>
    </row>
    <row r="855" spans="1:25" hidden="1">
      <c r="A855" s="447">
        <v>844000</v>
      </c>
      <c r="B855" s="156" t="s">
        <v>242</v>
      </c>
      <c r="C855" s="411" t="s">
        <v>1003</v>
      </c>
      <c r="D855" s="351"/>
      <c r="E855" s="405"/>
      <c r="F855" s="406"/>
      <c r="G855" s="158"/>
      <c r="H855" s="465">
        <v>3264.71</v>
      </c>
      <c r="I855" s="465">
        <f t="shared" si="232"/>
        <v>3264.71</v>
      </c>
      <c r="J855" s="407">
        <f t="shared" si="233"/>
        <v>4139.6499999999996</v>
      </c>
      <c r="K855" s="408" t="s">
        <v>23</v>
      </c>
      <c r="L855" s="152">
        <v>0</v>
      </c>
      <c r="M855" s="152"/>
      <c r="N855" s="402">
        <f t="shared" si="234"/>
        <v>0</v>
      </c>
      <c r="O855" s="402">
        <f t="shared" si="235"/>
        <v>0</v>
      </c>
      <c r="P855" s="403"/>
      <c r="Q855" s="152">
        <f t="shared" si="238"/>
        <v>0</v>
      </c>
      <c r="R855" s="152">
        <f t="shared" si="238"/>
        <v>0</v>
      </c>
      <c r="S855" s="402">
        <f t="shared" si="236"/>
        <v>0</v>
      </c>
      <c r="T855" s="404">
        <f t="shared" si="237"/>
        <v>0</v>
      </c>
      <c r="U855" s="403"/>
      <c r="W855" s="43" t="str">
        <f t="shared" si="230"/>
        <v/>
      </c>
      <c r="X855" s="43" t="str">
        <f t="shared" si="212"/>
        <v/>
      </c>
      <c r="Y855" s="43" t="str">
        <f t="shared" si="195"/>
        <v/>
      </c>
    </row>
    <row r="856" spans="1:25" hidden="1">
      <c r="A856" s="400" t="s">
        <v>217</v>
      </c>
      <c r="B856" s="206"/>
      <c r="C856" s="344" t="s">
        <v>973</v>
      </c>
      <c r="D856" s="185"/>
      <c r="E856" s="207"/>
      <c r="F856" s="208"/>
      <c r="G856" s="209"/>
      <c r="H856" s="210"/>
      <c r="I856" s="210"/>
      <c r="J856" s="210"/>
      <c r="K856" s="210" t="s">
        <v>1029</v>
      </c>
      <c r="L856" s="152">
        <v>0</v>
      </c>
      <c r="M856" s="210"/>
      <c r="N856" s="210"/>
      <c r="O856" s="211"/>
      <c r="P856" s="403"/>
      <c r="Q856" s="209"/>
      <c r="R856" s="210"/>
      <c r="S856" s="210"/>
      <c r="T856" s="211"/>
      <c r="U856" s="403"/>
      <c r="V856" s="144" t="str">
        <f>IF(OR(SUM(O857:O888)&gt;0,SUM(T857:T888)&gt;0),"y","")</f>
        <v/>
      </c>
      <c r="W856" s="43" t="str">
        <f t="shared" si="230"/>
        <v/>
      </c>
      <c r="X856" s="43" t="str">
        <f t="shared" si="212"/>
        <v/>
      </c>
      <c r="Y856" s="43" t="str">
        <f t="shared" si="195"/>
        <v/>
      </c>
    </row>
    <row r="857" spans="1:25" hidden="1">
      <c r="A857" s="397" t="s">
        <v>217</v>
      </c>
      <c r="B857" s="165" t="s">
        <v>217</v>
      </c>
      <c r="C857" s="166"/>
      <c r="D857" s="167"/>
      <c r="E857" s="168"/>
      <c r="F857" s="169"/>
      <c r="G857" s="170"/>
      <c r="H857" s="171"/>
      <c r="I857" s="452"/>
      <c r="J857" s="453">
        <f t="shared" ref="J857:J888" si="240">IF(ISBLANK(I857),0,ROUND(I857*(1+$E$10)*(1+$E$11*D857),2))</f>
        <v>0</v>
      </c>
      <c r="K857" s="392" t="s">
        <v>1029</v>
      </c>
      <c r="L857" s="152">
        <v>0</v>
      </c>
      <c r="M857" s="204"/>
      <c r="N857" s="402">
        <f t="shared" ref="N857" si="241">IF(ISBLANK(L857),0,ROUND(J857*L857,2))</f>
        <v>0</v>
      </c>
      <c r="O857" s="404">
        <f t="shared" ref="O857:O888" si="242">IF(ISBLANK(M857),0,ROUND(L857*M857,2))</f>
        <v>0</v>
      </c>
      <c r="P857" s="403"/>
      <c r="Q857" s="205">
        <f t="shared" ref="Q857:R888" si="243">L857</f>
        <v>0</v>
      </c>
      <c r="R857" s="204">
        <f t="shared" si="243"/>
        <v>0</v>
      </c>
      <c r="S857" s="402">
        <f t="shared" ref="S857:S888" si="244">IF(ISBLANK(Q857),0,ROUND(J857*Q857,2))</f>
        <v>0</v>
      </c>
      <c r="T857" s="404">
        <f t="shared" ref="T857:T888" si="245">IF(ISBLANK(Q857),0,ROUND(Q857*R857,2))</f>
        <v>0</v>
      </c>
      <c r="U857" s="403"/>
      <c r="W857" s="43" t="str">
        <f t="shared" si="230"/>
        <v/>
      </c>
      <c r="X857" s="43" t="str">
        <f t="shared" si="212"/>
        <v/>
      </c>
      <c r="Y857" s="43" t="str">
        <f t="shared" si="195"/>
        <v/>
      </c>
    </row>
    <row r="858" spans="1:25" hidden="1">
      <c r="A858" s="397" t="s">
        <v>217</v>
      </c>
      <c r="B858" s="165" t="s">
        <v>217</v>
      </c>
      <c r="C858" s="166"/>
      <c r="D858" s="167"/>
      <c r="E858" s="168"/>
      <c r="F858" s="169"/>
      <c r="G858" s="170"/>
      <c r="H858" s="171"/>
      <c r="I858" s="452"/>
      <c r="J858" s="454">
        <f t="shared" si="240"/>
        <v>0</v>
      </c>
      <c r="K858" s="392" t="s">
        <v>1029</v>
      </c>
      <c r="L858" s="152">
        <v>0</v>
      </c>
      <c r="M858" s="152"/>
      <c r="N858" s="402">
        <f>IF(ISBLANK(L858),0,ROUND(J858*L858,2))</f>
        <v>0</v>
      </c>
      <c r="O858" s="402">
        <f t="shared" si="242"/>
        <v>0</v>
      </c>
      <c r="P858" s="403"/>
      <c r="Q858" s="152">
        <f t="shared" si="243"/>
        <v>0</v>
      </c>
      <c r="R858" s="152">
        <f t="shared" si="243"/>
        <v>0</v>
      </c>
      <c r="S858" s="402">
        <f t="shared" si="244"/>
        <v>0</v>
      </c>
      <c r="T858" s="164">
        <f t="shared" si="245"/>
        <v>0</v>
      </c>
      <c r="U858" s="403"/>
      <c r="W858" s="43" t="str">
        <f t="shared" si="230"/>
        <v/>
      </c>
      <c r="X858" s="43" t="str">
        <f t="shared" si="212"/>
        <v/>
      </c>
      <c r="Y858" s="43" t="str">
        <f t="shared" si="195"/>
        <v/>
      </c>
    </row>
    <row r="859" spans="1:25" hidden="1">
      <c r="A859" s="397" t="s">
        <v>217</v>
      </c>
      <c r="B859" s="165" t="s">
        <v>217</v>
      </c>
      <c r="C859" s="166"/>
      <c r="D859" s="167"/>
      <c r="E859" s="168"/>
      <c r="F859" s="169"/>
      <c r="G859" s="170"/>
      <c r="H859" s="171"/>
      <c r="I859" s="452"/>
      <c r="J859" s="454">
        <f t="shared" si="240"/>
        <v>0</v>
      </c>
      <c r="K859" s="392" t="s">
        <v>1029</v>
      </c>
      <c r="L859" s="152">
        <v>0</v>
      </c>
      <c r="M859" s="152"/>
      <c r="N859" s="402">
        <f t="shared" ref="N859:N888" si="246">IF(ISBLANK(L859),0,ROUND(J859*L859,2))</f>
        <v>0</v>
      </c>
      <c r="O859" s="402">
        <f t="shared" si="242"/>
        <v>0</v>
      </c>
      <c r="P859" s="403"/>
      <c r="Q859" s="152">
        <f t="shared" si="243"/>
        <v>0</v>
      </c>
      <c r="R859" s="152">
        <f t="shared" si="243"/>
        <v>0</v>
      </c>
      <c r="S859" s="402">
        <f t="shared" si="244"/>
        <v>0</v>
      </c>
      <c r="T859" s="404">
        <f t="shared" si="245"/>
        <v>0</v>
      </c>
      <c r="U859" s="403"/>
      <c r="W859" s="43" t="str">
        <f t="shared" si="230"/>
        <v/>
      </c>
      <c r="X859" s="43" t="str">
        <f t="shared" si="212"/>
        <v/>
      </c>
      <c r="Y859" s="43" t="str">
        <f t="shared" si="195"/>
        <v/>
      </c>
    </row>
    <row r="860" spans="1:25" hidden="1">
      <c r="A860" s="397" t="s">
        <v>217</v>
      </c>
      <c r="B860" s="165" t="s">
        <v>217</v>
      </c>
      <c r="C860" s="166"/>
      <c r="D860" s="167"/>
      <c r="E860" s="168"/>
      <c r="F860" s="169"/>
      <c r="G860" s="170"/>
      <c r="H860" s="171"/>
      <c r="I860" s="452"/>
      <c r="J860" s="454">
        <f t="shared" si="240"/>
        <v>0</v>
      </c>
      <c r="K860" s="392" t="s">
        <v>1029</v>
      </c>
      <c r="L860" s="152">
        <v>0</v>
      </c>
      <c r="M860" s="152"/>
      <c r="N860" s="402">
        <f t="shared" si="246"/>
        <v>0</v>
      </c>
      <c r="O860" s="402">
        <f t="shared" si="242"/>
        <v>0</v>
      </c>
      <c r="P860" s="403"/>
      <c r="Q860" s="152">
        <f t="shared" si="243"/>
        <v>0</v>
      </c>
      <c r="R860" s="152">
        <f t="shared" si="243"/>
        <v>0</v>
      </c>
      <c r="S860" s="402">
        <f t="shared" si="244"/>
        <v>0</v>
      </c>
      <c r="T860" s="404">
        <f t="shared" si="245"/>
        <v>0</v>
      </c>
      <c r="U860" s="403"/>
      <c r="W860" s="43" t="str">
        <f t="shared" si="230"/>
        <v/>
      </c>
      <c r="X860" s="43" t="str">
        <f t="shared" si="212"/>
        <v/>
      </c>
      <c r="Y860" s="43" t="str">
        <f t="shared" si="195"/>
        <v/>
      </c>
    </row>
    <row r="861" spans="1:25" hidden="1">
      <c r="A861" s="397" t="s">
        <v>217</v>
      </c>
      <c r="B861" s="165" t="s">
        <v>217</v>
      </c>
      <c r="C861" s="166"/>
      <c r="D861" s="167"/>
      <c r="E861" s="168"/>
      <c r="F861" s="169"/>
      <c r="G861" s="170"/>
      <c r="H861" s="171"/>
      <c r="I861" s="452"/>
      <c r="J861" s="454">
        <f t="shared" si="240"/>
        <v>0</v>
      </c>
      <c r="K861" s="392" t="s">
        <v>1029</v>
      </c>
      <c r="L861" s="152">
        <v>0</v>
      </c>
      <c r="M861" s="152"/>
      <c r="N861" s="402">
        <f t="shared" si="246"/>
        <v>0</v>
      </c>
      <c r="O861" s="402">
        <f t="shared" si="242"/>
        <v>0</v>
      </c>
      <c r="P861" s="403"/>
      <c r="Q861" s="152">
        <f t="shared" si="243"/>
        <v>0</v>
      </c>
      <c r="R861" s="152">
        <f t="shared" si="243"/>
        <v>0</v>
      </c>
      <c r="S861" s="402">
        <f t="shared" si="244"/>
        <v>0</v>
      </c>
      <c r="T861" s="404">
        <f t="shared" si="245"/>
        <v>0</v>
      </c>
      <c r="U861" s="403"/>
      <c r="W861" s="43" t="str">
        <f t="shared" si="230"/>
        <v/>
      </c>
      <c r="X861" s="43" t="str">
        <f t="shared" si="212"/>
        <v/>
      </c>
      <c r="Y861" s="43" t="str">
        <f t="shared" si="195"/>
        <v/>
      </c>
    </row>
    <row r="862" spans="1:25" hidden="1">
      <c r="A862" s="397" t="s">
        <v>217</v>
      </c>
      <c r="B862" s="165" t="s">
        <v>217</v>
      </c>
      <c r="C862" s="166"/>
      <c r="D862" s="167"/>
      <c r="E862" s="168"/>
      <c r="F862" s="169"/>
      <c r="G862" s="170"/>
      <c r="H862" s="171"/>
      <c r="I862" s="452"/>
      <c r="J862" s="454">
        <f t="shared" si="240"/>
        <v>0</v>
      </c>
      <c r="K862" s="392" t="s">
        <v>1029</v>
      </c>
      <c r="L862" s="152">
        <v>0</v>
      </c>
      <c r="M862" s="152"/>
      <c r="N862" s="402">
        <f t="shared" si="246"/>
        <v>0</v>
      </c>
      <c r="O862" s="402">
        <f t="shared" si="242"/>
        <v>0</v>
      </c>
      <c r="P862" s="403"/>
      <c r="Q862" s="152">
        <f t="shared" si="243"/>
        <v>0</v>
      </c>
      <c r="R862" s="152">
        <f t="shared" si="243"/>
        <v>0</v>
      </c>
      <c r="S862" s="402">
        <f t="shared" si="244"/>
        <v>0</v>
      </c>
      <c r="T862" s="404">
        <f t="shared" si="245"/>
        <v>0</v>
      </c>
      <c r="U862" s="403"/>
      <c r="W862" s="43" t="str">
        <f t="shared" si="230"/>
        <v/>
      </c>
      <c r="X862" s="43" t="str">
        <f t="shared" si="212"/>
        <v/>
      </c>
      <c r="Y862" s="43" t="str">
        <f t="shared" si="195"/>
        <v/>
      </c>
    </row>
    <row r="863" spans="1:25" hidden="1">
      <c r="A863" s="397" t="s">
        <v>217</v>
      </c>
      <c r="B863" s="165" t="s">
        <v>217</v>
      </c>
      <c r="C863" s="166"/>
      <c r="D863" s="167"/>
      <c r="E863" s="168"/>
      <c r="F863" s="169"/>
      <c r="G863" s="170"/>
      <c r="H863" s="171"/>
      <c r="I863" s="452"/>
      <c r="J863" s="454">
        <f t="shared" si="240"/>
        <v>0</v>
      </c>
      <c r="K863" s="392" t="s">
        <v>1029</v>
      </c>
      <c r="L863" s="152">
        <v>0</v>
      </c>
      <c r="M863" s="152"/>
      <c r="N863" s="402">
        <f t="shared" si="246"/>
        <v>0</v>
      </c>
      <c r="O863" s="402">
        <f t="shared" si="242"/>
        <v>0</v>
      </c>
      <c r="P863" s="403"/>
      <c r="Q863" s="152">
        <f t="shared" si="243"/>
        <v>0</v>
      </c>
      <c r="R863" s="152">
        <f t="shared" si="243"/>
        <v>0</v>
      </c>
      <c r="S863" s="402">
        <f t="shared" si="244"/>
        <v>0</v>
      </c>
      <c r="T863" s="404">
        <f t="shared" si="245"/>
        <v>0</v>
      </c>
      <c r="U863" s="403"/>
      <c r="W863" s="43" t="str">
        <f t="shared" si="230"/>
        <v/>
      </c>
      <c r="X863" s="43" t="str">
        <f t="shared" si="212"/>
        <v/>
      </c>
      <c r="Y863" s="43" t="str">
        <f t="shared" si="195"/>
        <v/>
      </c>
    </row>
    <row r="864" spans="1:25" hidden="1">
      <c r="A864" s="397" t="s">
        <v>217</v>
      </c>
      <c r="B864" s="165" t="s">
        <v>217</v>
      </c>
      <c r="C864" s="166"/>
      <c r="D864" s="167"/>
      <c r="E864" s="168"/>
      <c r="F864" s="169"/>
      <c r="G864" s="170"/>
      <c r="H864" s="171"/>
      <c r="I864" s="452"/>
      <c r="J864" s="454">
        <f t="shared" si="240"/>
        <v>0</v>
      </c>
      <c r="K864" s="392" t="s">
        <v>1029</v>
      </c>
      <c r="L864" s="152">
        <v>0</v>
      </c>
      <c r="M864" s="152"/>
      <c r="N864" s="402">
        <f t="shared" si="246"/>
        <v>0</v>
      </c>
      <c r="O864" s="402">
        <f t="shared" si="242"/>
        <v>0</v>
      </c>
      <c r="P864" s="403"/>
      <c r="Q864" s="152">
        <f t="shared" si="243"/>
        <v>0</v>
      </c>
      <c r="R864" s="152">
        <f t="shared" si="243"/>
        <v>0</v>
      </c>
      <c r="S864" s="402">
        <f t="shared" si="244"/>
        <v>0</v>
      </c>
      <c r="T864" s="404">
        <f t="shared" si="245"/>
        <v>0</v>
      </c>
      <c r="U864" s="403"/>
      <c r="W864" s="43" t="str">
        <f t="shared" si="230"/>
        <v/>
      </c>
      <c r="X864" s="43" t="str">
        <f t="shared" si="212"/>
        <v/>
      </c>
      <c r="Y864" s="43" t="str">
        <f t="shared" si="195"/>
        <v/>
      </c>
    </row>
    <row r="865" spans="1:25" hidden="1">
      <c r="A865" s="397" t="s">
        <v>217</v>
      </c>
      <c r="B865" s="165" t="s">
        <v>217</v>
      </c>
      <c r="C865" s="166"/>
      <c r="D865" s="167"/>
      <c r="E865" s="168"/>
      <c r="F865" s="169"/>
      <c r="G865" s="170"/>
      <c r="H865" s="171"/>
      <c r="I865" s="452"/>
      <c r="J865" s="454">
        <f t="shared" si="240"/>
        <v>0</v>
      </c>
      <c r="K865" s="392" t="s">
        <v>1029</v>
      </c>
      <c r="L865" s="152">
        <v>0</v>
      </c>
      <c r="M865" s="152"/>
      <c r="N865" s="402">
        <f t="shared" si="246"/>
        <v>0</v>
      </c>
      <c r="O865" s="402">
        <f t="shared" si="242"/>
        <v>0</v>
      </c>
      <c r="P865" s="403"/>
      <c r="Q865" s="152">
        <f t="shared" si="243"/>
        <v>0</v>
      </c>
      <c r="R865" s="152">
        <f t="shared" si="243"/>
        <v>0</v>
      </c>
      <c r="S865" s="402">
        <f t="shared" si="244"/>
        <v>0</v>
      </c>
      <c r="T865" s="404">
        <f t="shared" si="245"/>
        <v>0</v>
      </c>
      <c r="U865" s="403"/>
      <c r="W865" s="43" t="str">
        <f t="shared" si="230"/>
        <v/>
      </c>
      <c r="X865" s="43" t="str">
        <f t="shared" si="212"/>
        <v/>
      </c>
      <c r="Y865" s="43" t="str">
        <f t="shared" si="195"/>
        <v/>
      </c>
    </row>
    <row r="866" spans="1:25" hidden="1">
      <c r="A866" s="397" t="s">
        <v>217</v>
      </c>
      <c r="B866" s="165" t="s">
        <v>217</v>
      </c>
      <c r="C866" s="166"/>
      <c r="D866" s="167"/>
      <c r="E866" s="168"/>
      <c r="F866" s="169"/>
      <c r="G866" s="170"/>
      <c r="H866" s="171"/>
      <c r="I866" s="452"/>
      <c r="J866" s="454">
        <f t="shared" si="240"/>
        <v>0</v>
      </c>
      <c r="K866" s="392" t="s">
        <v>1029</v>
      </c>
      <c r="L866" s="152">
        <v>0</v>
      </c>
      <c r="M866" s="152"/>
      <c r="N866" s="402">
        <f t="shared" si="246"/>
        <v>0</v>
      </c>
      <c r="O866" s="402">
        <f t="shared" si="242"/>
        <v>0</v>
      </c>
      <c r="P866" s="403"/>
      <c r="Q866" s="152">
        <f t="shared" si="243"/>
        <v>0</v>
      </c>
      <c r="R866" s="152">
        <f t="shared" si="243"/>
        <v>0</v>
      </c>
      <c r="S866" s="402">
        <f t="shared" si="244"/>
        <v>0</v>
      </c>
      <c r="T866" s="404">
        <f t="shared" si="245"/>
        <v>0</v>
      </c>
      <c r="U866" s="403"/>
      <c r="W866" s="43" t="str">
        <f t="shared" si="230"/>
        <v/>
      </c>
      <c r="X866" s="43" t="str">
        <f t="shared" si="212"/>
        <v/>
      </c>
      <c r="Y866" s="43" t="str">
        <f t="shared" si="195"/>
        <v/>
      </c>
    </row>
    <row r="867" spans="1:25" hidden="1">
      <c r="A867" s="397" t="s">
        <v>217</v>
      </c>
      <c r="B867" s="165" t="s">
        <v>217</v>
      </c>
      <c r="C867" s="166"/>
      <c r="D867" s="167"/>
      <c r="E867" s="168"/>
      <c r="F867" s="169"/>
      <c r="G867" s="170"/>
      <c r="H867" s="171"/>
      <c r="I867" s="452"/>
      <c r="J867" s="454">
        <f t="shared" si="240"/>
        <v>0</v>
      </c>
      <c r="K867" s="392" t="s">
        <v>1029</v>
      </c>
      <c r="L867" s="152">
        <v>0</v>
      </c>
      <c r="M867" s="152"/>
      <c r="N867" s="402">
        <f t="shared" si="246"/>
        <v>0</v>
      </c>
      <c r="O867" s="402">
        <f t="shared" si="242"/>
        <v>0</v>
      </c>
      <c r="P867" s="403"/>
      <c r="Q867" s="152">
        <f t="shared" si="243"/>
        <v>0</v>
      </c>
      <c r="R867" s="152">
        <f t="shared" si="243"/>
        <v>0</v>
      </c>
      <c r="S867" s="402">
        <f t="shared" si="244"/>
        <v>0</v>
      </c>
      <c r="T867" s="404">
        <f t="shared" si="245"/>
        <v>0</v>
      </c>
      <c r="U867" s="403"/>
      <c r="W867" s="43" t="str">
        <f t="shared" si="230"/>
        <v/>
      </c>
      <c r="X867" s="43" t="str">
        <f t="shared" si="212"/>
        <v/>
      </c>
      <c r="Y867" s="43" t="str">
        <f t="shared" si="195"/>
        <v/>
      </c>
    </row>
    <row r="868" spans="1:25" hidden="1">
      <c r="A868" s="397" t="s">
        <v>217</v>
      </c>
      <c r="B868" s="165" t="s">
        <v>217</v>
      </c>
      <c r="C868" s="166"/>
      <c r="D868" s="167"/>
      <c r="E868" s="168"/>
      <c r="F868" s="169"/>
      <c r="G868" s="170"/>
      <c r="H868" s="171"/>
      <c r="I868" s="452"/>
      <c r="J868" s="454">
        <f t="shared" si="240"/>
        <v>0</v>
      </c>
      <c r="K868" s="392" t="s">
        <v>1029</v>
      </c>
      <c r="L868" s="152">
        <v>0</v>
      </c>
      <c r="M868" s="152"/>
      <c r="N868" s="402">
        <f t="shared" si="246"/>
        <v>0</v>
      </c>
      <c r="O868" s="402">
        <f t="shared" si="242"/>
        <v>0</v>
      </c>
      <c r="P868" s="403"/>
      <c r="Q868" s="152">
        <f t="shared" si="243"/>
        <v>0</v>
      </c>
      <c r="R868" s="152">
        <f t="shared" si="243"/>
        <v>0</v>
      </c>
      <c r="S868" s="402">
        <f t="shared" si="244"/>
        <v>0</v>
      </c>
      <c r="T868" s="404">
        <f t="shared" si="245"/>
        <v>0</v>
      </c>
      <c r="U868" s="403"/>
      <c r="W868" s="43" t="str">
        <f t="shared" si="230"/>
        <v/>
      </c>
      <c r="X868" s="43" t="str">
        <f t="shared" si="212"/>
        <v/>
      </c>
      <c r="Y868" s="43" t="str">
        <f t="shared" si="195"/>
        <v/>
      </c>
    </row>
    <row r="869" spans="1:25" hidden="1">
      <c r="A869" s="397" t="s">
        <v>217</v>
      </c>
      <c r="B869" s="165" t="s">
        <v>217</v>
      </c>
      <c r="C869" s="166"/>
      <c r="D869" s="167"/>
      <c r="E869" s="168"/>
      <c r="F869" s="169"/>
      <c r="G869" s="170"/>
      <c r="H869" s="171"/>
      <c r="I869" s="452"/>
      <c r="J869" s="454">
        <f t="shared" si="240"/>
        <v>0</v>
      </c>
      <c r="K869" s="392" t="s">
        <v>1029</v>
      </c>
      <c r="L869" s="152">
        <v>0</v>
      </c>
      <c r="M869" s="152"/>
      <c r="N869" s="402">
        <f t="shared" si="246"/>
        <v>0</v>
      </c>
      <c r="O869" s="402">
        <f t="shared" si="242"/>
        <v>0</v>
      </c>
      <c r="P869" s="403"/>
      <c r="Q869" s="152">
        <f t="shared" si="243"/>
        <v>0</v>
      </c>
      <c r="R869" s="152">
        <f t="shared" si="243"/>
        <v>0</v>
      </c>
      <c r="S869" s="402">
        <f t="shared" si="244"/>
        <v>0</v>
      </c>
      <c r="T869" s="404">
        <f t="shared" si="245"/>
        <v>0</v>
      </c>
      <c r="U869" s="403"/>
      <c r="W869" s="43" t="str">
        <f t="shared" si="230"/>
        <v/>
      </c>
      <c r="X869" s="43" t="str">
        <f t="shared" si="212"/>
        <v/>
      </c>
      <c r="Y869" s="43" t="str">
        <f t="shared" si="195"/>
        <v/>
      </c>
    </row>
    <row r="870" spans="1:25" hidden="1">
      <c r="A870" s="397" t="s">
        <v>217</v>
      </c>
      <c r="B870" s="165" t="s">
        <v>217</v>
      </c>
      <c r="C870" s="166"/>
      <c r="D870" s="167"/>
      <c r="E870" s="168"/>
      <c r="F870" s="169"/>
      <c r="G870" s="170"/>
      <c r="H870" s="171"/>
      <c r="I870" s="452"/>
      <c r="J870" s="454">
        <f t="shared" si="240"/>
        <v>0</v>
      </c>
      <c r="K870" s="392" t="s">
        <v>1029</v>
      </c>
      <c r="L870" s="152">
        <v>0</v>
      </c>
      <c r="M870" s="152"/>
      <c r="N870" s="402">
        <f t="shared" si="246"/>
        <v>0</v>
      </c>
      <c r="O870" s="402">
        <f t="shared" si="242"/>
        <v>0</v>
      </c>
      <c r="P870" s="403"/>
      <c r="Q870" s="152">
        <f t="shared" si="243"/>
        <v>0</v>
      </c>
      <c r="R870" s="152">
        <f t="shared" si="243"/>
        <v>0</v>
      </c>
      <c r="S870" s="402">
        <f t="shared" si="244"/>
        <v>0</v>
      </c>
      <c r="T870" s="404">
        <f t="shared" si="245"/>
        <v>0</v>
      </c>
      <c r="U870" s="403"/>
      <c r="W870" s="43" t="str">
        <f t="shared" si="230"/>
        <v/>
      </c>
      <c r="X870" s="43" t="str">
        <f t="shared" si="212"/>
        <v/>
      </c>
      <c r="Y870" s="43" t="str">
        <f t="shared" si="195"/>
        <v/>
      </c>
    </row>
    <row r="871" spans="1:25" hidden="1">
      <c r="A871" s="397" t="s">
        <v>217</v>
      </c>
      <c r="B871" s="165" t="s">
        <v>217</v>
      </c>
      <c r="C871" s="166"/>
      <c r="D871" s="167"/>
      <c r="E871" s="168"/>
      <c r="F871" s="169"/>
      <c r="G871" s="170"/>
      <c r="H871" s="171"/>
      <c r="I871" s="452"/>
      <c r="J871" s="454">
        <f t="shared" si="240"/>
        <v>0</v>
      </c>
      <c r="K871" s="392" t="s">
        <v>1029</v>
      </c>
      <c r="L871" s="152">
        <v>0</v>
      </c>
      <c r="M871" s="152"/>
      <c r="N871" s="402">
        <f t="shared" si="246"/>
        <v>0</v>
      </c>
      <c r="O871" s="402">
        <f t="shared" si="242"/>
        <v>0</v>
      </c>
      <c r="P871" s="403"/>
      <c r="Q871" s="152">
        <f t="shared" si="243"/>
        <v>0</v>
      </c>
      <c r="R871" s="152">
        <f t="shared" si="243"/>
        <v>0</v>
      </c>
      <c r="S871" s="402">
        <f t="shared" si="244"/>
        <v>0</v>
      </c>
      <c r="T871" s="404">
        <f t="shared" si="245"/>
        <v>0</v>
      </c>
      <c r="U871" s="403"/>
      <c r="W871" s="43" t="str">
        <f t="shared" si="230"/>
        <v/>
      </c>
      <c r="X871" s="43" t="str">
        <f t="shared" si="212"/>
        <v/>
      </c>
      <c r="Y871" s="43" t="str">
        <f t="shared" si="195"/>
        <v/>
      </c>
    </row>
    <row r="872" spans="1:25" hidden="1">
      <c r="A872" s="397" t="s">
        <v>217</v>
      </c>
      <c r="B872" s="165" t="s">
        <v>217</v>
      </c>
      <c r="C872" s="166"/>
      <c r="D872" s="167"/>
      <c r="E872" s="168"/>
      <c r="F872" s="169"/>
      <c r="G872" s="170"/>
      <c r="H872" s="171"/>
      <c r="I872" s="452"/>
      <c r="J872" s="454">
        <f t="shared" si="240"/>
        <v>0</v>
      </c>
      <c r="K872" s="392" t="s">
        <v>1029</v>
      </c>
      <c r="L872" s="152">
        <v>0</v>
      </c>
      <c r="M872" s="152"/>
      <c r="N872" s="402">
        <f t="shared" si="246"/>
        <v>0</v>
      </c>
      <c r="O872" s="402">
        <f t="shared" si="242"/>
        <v>0</v>
      </c>
      <c r="P872" s="403"/>
      <c r="Q872" s="152">
        <f t="shared" si="243"/>
        <v>0</v>
      </c>
      <c r="R872" s="152">
        <f t="shared" si="243"/>
        <v>0</v>
      </c>
      <c r="S872" s="402">
        <f t="shared" si="244"/>
        <v>0</v>
      </c>
      <c r="T872" s="404">
        <f t="shared" si="245"/>
        <v>0</v>
      </c>
      <c r="U872" s="403"/>
      <c r="W872" s="43" t="str">
        <f t="shared" si="230"/>
        <v/>
      </c>
      <c r="X872" s="43" t="str">
        <f t="shared" si="212"/>
        <v/>
      </c>
      <c r="Y872" s="43" t="str">
        <f t="shared" si="195"/>
        <v/>
      </c>
    </row>
    <row r="873" spans="1:25" hidden="1">
      <c r="A873" s="397" t="s">
        <v>217</v>
      </c>
      <c r="B873" s="165" t="s">
        <v>217</v>
      </c>
      <c r="C873" s="166"/>
      <c r="D873" s="167"/>
      <c r="E873" s="168"/>
      <c r="F873" s="169"/>
      <c r="G873" s="170"/>
      <c r="H873" s="171"/>
      <c r="I873" s="452"/>
      <c r="J873" s="454">
        <f t="shared" si="240"/>
        <v>0</v>
      </c>
      <c r="K873" s="392" t="s">
        <v>1029</v>
      </c>
      <c r="L873" s="152">
        <v>0</v>
      </c>
      <c r="M873" s="152"/>
      <c r="N873" s="402">
        <f t="shared" si="246"/>
        <v>0</v>
      </c>
      <c r="O873" s="402">
        <f t="shared" si="242"/>
        <v>0</v>
      </c>
      <c r="P873" s="403"/>
      <c r="Q873" s="152">
        <f t="shared" si="243"/>
        <v>0</v>
      </c>
      <c r="R873" s="152">
        <f t="shared" si="243"/>
        <v>0</v>
      </c>
      <c r="S873" s="402">
        <f t="shared" si="244"/>
        <v>0</v>
      </c>
      <c r="T873" s="404">
        <f t="shared" si="245"/>
        <v>0</v>
      </c>
      <c r="U873" s="403"/>
      <c r="W873" s="43" t="str">
        <f t="shared" si="230"/>
        <v/>
      </c>
      <c r="X873" s="43" t="str">
        <f t="shared" si="212"/>
        <v/>
      </c>
      <c r="Y873" s="43" t="str">
        <f t="shared" si="195"/>
        <v/>
      </c>
    </row>
    <row r="874" spans="1:25" hidden="1">
      <c r="A874" s="397" t="s">
        <v>217</v>
      </c>
      <c r="B874" s="165" t="s">
        <v>217</v>
      </c>
      <c r="C874" s="166"/>
      <c r="D874" s="167"/>
      <c r="E874" s="168"/>
      <c r="F874" s="169"/>
      <c r="G874" s="170"/>
      <c r="H874" s="171"/>
      <c r="I874" s="452"/>
      <c r="J874" s="454">
        <f t="shared" si="240"/>
        <v>0</v>
      </c>
      <c r="K874" s="392" t="s">
        <v>1029</v>
      </c>
      <c r="L874" s="152">
        <v>0</v>
      </c>
      <c r="M874" s="152"/>
      <c r="N874" s="402">
        <f t="shared" si="246"/>
        <v>0</v>
      </c>
      <c r="O874" s="402">
        <f t="shared" si="242"/>
        <v>0</v>
      </c>
      <c r="P874" s="403"/>
      <c r="Q874" s="152">
        <f t="shared" si="243"/>
        <v>0</v>
      </c>
      <c r="R874" s="152">
        <f t="shared" si="243"/>
        <v>0</v>
      </c>
      <c r="S874" s="402">
        <f t="shared" si="244"/>
        <v>0</v>
      </c>
      <c r="T874" s="404">
        <f t="shared" si="245"/>
        <v>0</v>
      </c>
      <c r="U874" s="403"/>
      <c r="W874" s="43" t="str">
        <f t="shared" si="230"/>
        <v/>
      </c>
      <c r="X874" s="43" t="str">
        <f t="shared" si="212"/>
        <v/>
      </c>
      <c r="Y874" s="43" t="str">
        <f t="shared" si="195"/>
        <v/>
      </c>
    </row>
    <row r="875" spans="1:25" hidden="1">
      <c r="A875" s="397" t="s">
        <v>217</v>
      </c>
      <c r="B875" s="165" t="s">
        <v>217</v>
      </c>
      <c r="C875" s="166"/>
      <c r="D875" s="167"/>
      <c r="E875" s="168"/>
      <c r="F875" s="169"/>
      <c r="G875" s="170"/>
      <c r="H875" s="171"/>
      <c r="I875" s="452"/>
      <c r="J875" s="454">
        <f t="shared" si="240"/>
        <v>0</v>
      </c>
      <c r="K875" s="392" t="s">
        <v>1029</v>
      </c>
      <c r="L875" s="152">
        <v>0</v>
      </c>
      <c r="M875" s="152"/>
      <c r="N875" s="402">
        <f t="shared" si="246"/>
        <v>0</v>
      </c>
      <c r="O875" s="402">
        <f t="shared" si="242"/>
        <v>0</v>
      </c>
      <c r="P875" s="403"/>
      <c r="Q875" s="152">
        <f t="shared" si="243"/>
        <v>0</v>
      </c>
      <c r="R875" s="152">
        <f t="shared" si="243"/>
        <v>0</v>
      </c>
      <c r="S875" s="402">
        <f t="shared" si="244"/>
        <v>0</v>
      </c>
      <c r="T875" s="404">
        <f t="shared" si="245"/>
        <v>0</v>
      </c>
      <c r="U875" s="403"/>
      <c r="W875" s="43" t="str">
        <f t="shared" si="230"/>
        <v/>
      </c>
      <c r="X875" s="43" t="str">
        <f t="shared" si="212"/>
        <v/>
      </c>
      <c r="Y875" s="43" t="str">
        <f t="shared" si="195"/>
        <v/>
      </c>
    </row>
    <row r="876" spans="1:25" hidden="1">
      <c r="A876" s="397" t="s">
        <v>217</v>
      </c>
      <c r="B876" s="165" t="s">
        <v>217</v>
      </c>
      <c r="C876" s="166"/>
      <c r="D876" s="167"/>
      <c r="E876" s="168"/>
      <c r="F876" s="169"/>
      <c r="G876" s="170"/>
      <c r="H876" s="171"/>
      <c r="I876" s="452"/>
      <c r="J876" s="454">
        <f t="shared" si="240"/>
        <v>0</v>
      </c>
      <c r="K876" s="392" t="s">
        <v>1029</v>
      </c>
      <c r="L876" s="152">
        <v>0</v>
      </c>
      <c r="M876" s="152"/>
      <c r="N876" s="402">
        <f t="shared" si="246"/>
        <v>0</v>
      </c>
      <c r="O876" s="402">
        <f t="shared" si="242"/>
        <v>0</v>
      </c>
      <c r="P876" s="403"/>
      <c r="Q876" s="152">
        <f t="shared" si="243"/>
        <v>0</v>
      </c>
      <c r="R876" s="152">
        <f t="shared" si="243"/>
        <v>0</v>
      </c>
      <c r="S876" s="402">
        <f t="shared" si="244"/>
        <v>0</v>
      </c>
      <c r="T876" s="404">
        <f t="shared" si="245"/>
        <v>0</v>
      </c>
      <c r="U876" s="403"/>
      <c r="W876" s="43" t="str">
        <f t="shared" si="230"/>
        <v/>
      </c>
      <c r="X876" s="43" t="str">
        <f t="shared" si="212"/>
        <v/>
      </c>
      <c r="Y876" s="43" t="str">
        <f t="shared" si="195"/>
        <v/>
      </c>
    </row>
    <row r="877" spans="1:25" hidden="1">
      <c r="A877" s="397" t="s">
        <v>217</v>
      </c>
      <c r="B877" s="165" t="s">
        <v>217</v>
      </c>
      <c r="C877" s="166"/>
      <c r="D877" s="167"/>
      <c r="E877" s="168"/>
      <c r="F877" s="169"/>
      <c r="G877" s="170"/>
      <c r="H877" s="171"/>
      <c r="I877" s="452"/>
      <c r="J877" s="454">
        <f t="shared" si="240"/>
        <v>0</v>
      </c>
      <c r="K877" s="392" t="s">
        <v>1029</v>
      </c>
      <c r="L877" s="152">
        <v>0</v>
      </c>
      <c r="M877" s="152"/>
      <c r="N877" s="402">
        <f t="shared" si="246"/>
        <v>0</v>
      </c>
      <c r="O877" s="402">
        <f t="shared" si="242"/>
        <v>0</v>
      </c>
      <c r="P877" s="403"/>
      <c r="Q877" s="152">
        <f t="shared" si="243"/>
        <v>0</v>
      </c>
      <c r="R877" s="152">
        <f t="shared" si="243"/>
        <v>0</v>
      </c>
      <c r="S877" s="402">
        <f t="shared" si="244"/>
        <v>0</v>
      </c>
      <c r="T877" s="404">
        <f t="shared" si="245"/>
        <v>0</v>
      </c>
      <c r="U877" s="403"/>
      <c r="W877" s="43" t="str">
        <f t="shared" si="230"/>
        <v/>
      </c>
      <c r="X877" s="43" t="str">
        <f t="shared" si="212"/>
        <v/>
      </c>
      <c r="Y877" s="43" t="str">
        <f t="shared" si="195"/>
        <v/>
      </c>
    </row>
    <row r="878" spans="1:25" hidden="1">
      <c r="A878" s="397" t="s">
        <v>217</v>
      </c>
      <c r="B878" s="165" t="s">
        <v>217</v>
      </c>
      <c r="C878" s="166"/>
      <c r="D878" s="167"/>
      <c r="E878" s="168"/>
      <c r="F878" s="169"/>
      <c r="G878" s="170"/>
      <c r="H878" s="171"/>
      <c r="I878" s="452"/>
      <c r="J878" s="454">
        <f t="shared" si="240"/>
        <v>0</v>
      </c>
      <c r="K878" s="392" t="s">
        <v>1029</v>
      </c>
      <c r="L878" s="152">
        <v>0</v>
      </c>
      <c r="M878" s="152"/>
      <c r="N878" s="402">
        <f t="shared" si="246"/>
        <v>0</v>
      </c>
      <c r="O878" s="402">
        <f t="shared" si="242"/>
        <v>0</v>
      </c>
      <c r="P878" s="403"/>
      <c r="Q878" s="152">
        <f t="shared" si="243"/>
        <v>0</v>
      </c>
      <c r="R878" s="152">
        <f t="shared" si="243"/>
        <v>0</v>
      </c>
      <c r="S878" s="402">
        <f t="shared" si="244"/>
        <v>0</v>
      </c>
      <c r="T878" s="404">
        <f t="shared" si="245"/>
        <v>0</v>
      </c>
      <c r="U878" s="403"/>
      <c r="W878" s="43" t="str">
        <f t="shared" si="230"/>
        <v/>
      </c>
      <c r="X878" s="43" t="str">
        <f t="shared" si="212"/>
        <v/>
      </c>
      <c r="Y878" s="43" t="str">
        <f t="shared" si="195"/>
        <v/>
      </c>
    </row>
    <row r="879" spans="1:25" hidden="1">
      <c r="A879" s="397" t="s">
        <v>217</v>
      </c>
      <c r="B879" s="165" t="s">
        <v>217</v>
      </c>
      <c r="C879" s="166"/>
      <c r="D879" s="167"/>
      <c r="E879" s="168"/>
      <c r="F879" s="169"/>
      <c r="G879" s="170"/>
      <c r="H879" s="171"/>
      <c r="I879" s="452"/>
      <c r="J879" s="454">
        <f t="shared" si="240"/>
        <v>0</v>
      </c>
      <c r="K879" s="392" t="s">
        <v>1029</v>
      </c>
      <c r="L879" s="152">
        <v>0</v>
      </c>
      <c r="M879" s="152"/>
      <c r="N879" s="402">
        <f t="shared" si="246"/>
        <v>0</v>
      </c>
      <c r="O879" s="402">
        <f t="shared" si="242"/>
        <v>0</v>
      </c>
      <c r="P879" s="403"/>
      <c r="Q879" s="152">
        <f t="shared" si="243"/>
        <v>0</v>
      </c>
      <c r="R879" s="152">
        <f t="shared" si="243"/>
        <v>0</v>
      </c>
      <c r="S879" s="402">
        <f t="shared" si="244"/>
        <v>0</v>
      </c>
      <c r="T879" s="404">
        <f t="shared" si="245"/>
        <v>0</v>
      </c>
      <c r="U879" s="403"/>
      <c r="W879" s="43" t="str">
        <f t="shared" si="230"/>
        <v/>
      </c>
      <c r="X879" s="43" t="str">
        <f t="shared" si="212"/>
        <v/>
      </c>
      <c r="Y879" s="43" t="str">
        <f t="shared" si="195"/>
        <v/>
      </c>
    </row>
    <row r="880" spans="1:25" hidden="1">
      <c r="A880" s="397" t="s">
        <v>217</v>
      </c>
      <c r="B880" s="165" t="s">
        <v>217</v>
      </c>
      <c r="C880" s="166"/>
      <c r="D880" s="167"/>
      <c r="E880" s="168"/>
      <c r="F880" s="169"/>
      <c r="G880" s="170"/>
      <c r="H880" s="171"/>
      <c r="I880" s="452"/>
      <c r="J880" s="454">
        <f t="shared" si="240"/>
        <v>0</v>
      </c>
      <c r="K880" s="392" t="s">
        <v>1029</v>
      </c>
      <c r="L880" s="152">
        <v>0</v>
      </c>
      <c r="M880" s="152"/>
      <c r="N880" s="402">
        <f t="shared" si="246"/>
        <v>0</v>
      </c>
      <c r="O880" s="402">
        <f t="shared" si="242"/>
        <v>0</v>
      </c>
      <c r="P880" s="403"/>
      <c r="Q880" s="152">
        <f t="shared" si="243"/>
        <v>0</v>
      </c>
      <c r="R880" s="152">
        <f t="shared" si="243"/>
        <v>0</v>
      </c>
      <c r="S880" s="402">
        <f t="shared" si="244"/>
        <v>0</v>
      </c>
      <c r="T880" s="404">
        <f t="shared" si="245"/>
        <v>0</v>
      </c>
      <c r="U880" s="403"/>
      <c r="W880" s="43" t="str">
        <f t="shared" ref="W880:W970" si="247">IF(V880="X","x",IF(V880="xx","x",IF(V880="xy","x",IF(V880="y","x",IF(OR(O880&gt;0,T880&gt;0),"x","")))))</f>
        <v/>
      </c>
      <c r="X880" s="43" t="str">
        <f t="shared" si="212"/>
        <v/>
      </c>
      <c r="Y880" s="43" t="str">
        <f t="shared" si="195"/>
        <v/>
      </c>
    </row>
    <row r="881" spans="1:25" hidden="1">
      <c r="A881" s="397" t="s">
        <v>217</v>
      </c>
      <c r="B881" s="165" t="s">
        <v>217</v>
      </c>
      <c r="C881" s="166"/>
      <c r="D881" s="167"/>
      <c r="E881" s="168"/>
      <c r="F881" s="169"/>
      <c r="G881" s="170"/>
      <c r="H881" s="171"/>
      <c r="I881" s="452"/>
      <c r="J881" s="454">
        <f t="shared" si="240"/>
        <v>0</v>
      </c>
      <c r="K881" s="392" t="s">
        <v>1029</v>
      </c>
      <c r="L881" s="152">
        <v>0</v>
      </c>
      <c r="M881" s="152"/>
      <c r="N881" s="402">
        <f t="shared" si="246"/>
        <v>0</v>
      </c>
      <c r="O881" s="402">
        <f t="shared" si="242"/>
        <v>0</v>
      </c>
      <c r="P881" s="403"/>
      <c r="Q881" s="152">
        <f t="shared" si="243"/>
        <v>0</v>
      </c>
      <c r="R881" s="152">
        <f t="shared" si="243"/>
        <v>0</v>
      </c>
      <c r="S881" s="402">
        <f t="shared" si="244"/>
        <v>0</v>
      </c>
      <c r="T881" s="404">
        <f t="shared" si="245"/>
        <v>0</v>
      </c>
      <c r="U881" s="403"/>
      <c r="W881" s="43" t="str">
        <f t="shared" si="247"/>
        <v/>
      </c>
      <c r="X881" s="43" t="str">
        <f t="shared" si="212"/>
        <v/>
      </c>
      <c r="Y881" s="43" t="str">
        <f t="shared" si="195"/>
        <v/>
      </c>
    </row>
    <row r="882" spans="1:25" hidden="1">
      <c r="A882" s="397" t="s">
        <v>217</v>
      </c>
      <c r="B882" s="165" t="s">
        <v>217</v>
      </c>
      <c r="C882" s="166"/>
      <c r="D882" s="167"/>
      <c r="E882" s="168"/>
      <c r="F882" s="169"/>
      <c r="G882" s="170"/>
      <c r="H882" s="171"/>
      <c r="I882" s="452"/>
      <c r="J882" s="454">
        <f t="shared" si="240"/>
        <v>0</v>
      </c>
      <c r="K882" s="392" t="s">
        <v>1029</v>
      </c>
      <c r="L882" s="152">
        <v>0</v>
      </c>
      <c r="M882" s="152"/>
      <c r="N882" s="402">
        <f t="shared" si="246"/>
        <v>0</v>
      </c>
      <c r="O882" s="402">
        <f t="shared" si="242"/>
        <v>0</v>
      </c>
      <c r="P882" s="403"/>
      <c r="Q882" s="152">
        <f t="shared" si="243"/>
        <v>0</v>
      </c>
      <c r="R882" s="152">
        <f t="shared" si="243"/>
        <v>0</v>
      </c>
      <c r="S882" s="402">
        <f t="shared" si="244"/>
        <v>0</v>
      </c>
      <c r="T882" s="404">
        <f t="shared" si="245"/>
        <v>0</v>
      </c>
      <c r="U882" s="403"/>
      <c r="W882" s="43" t="str">
        <f t="shared" si="247"/>
        <v/>
      </c>
      <c r="X882" s="43" t="str">
        <f t="shared" si="212"/>
        <v/>
      </c>
      <c r="Y882" s="43" t="str">
        <f t="shared" si="195"/>
        <v/>
      </c>
    </row>
    <row r="883" spans="1:25" hidden="1">
      <c r="A883" s="397" t="s">
        <v>217</v>
      </c>
      <c r="B883" s="165" t="s">
        <v>217</v>
      </c>
      <c r="C883" s="166"/>
      <c r="D883" s="167"/>
      <c r="E883" s="168"/>
      <c r="F883" s="169"/>
      <c r="G883" s="170"/>
      <c r="H883" s="171"/>
      <c r="I883" s="452"/>
      <c r="J883" s="454">
        <f t="shared" si="240"/>
        <v>0</v>
      </c>
      <c r="K883" s="392" t="s">
        <v>1029</v>
      </c>
      <c r="L883" s="152">
        <v>0</v>
      </c>
      <c r="M883" s="152"/>
      <c r="N883" s="402">
        <f t="shared" si="246"/>
        <v>0</v>
      </c>
      <c r="O883" s="402">
        <f t="shared" si="242"/>
        <v>0</v>
      </c>
      <c r="P883" s="403"/>
      <c r="Q883" s="152">
        <f t="shared" si="243"/>
        <v>0</v>
      </c>
      <c r="R883" s="152">
        <f t="shared" si="243"/>
        <v>0</v>
      </c>
      <c r="S883" s="402">
        <f t="shared" si="244"/>
        <v>0</v>
      </c>
      <c r="T883" s="404">
        <f t="shared" si="245"/>
        <v>0</v>
      </c>
      <c r="U883" s="403"/>
      <c r="W883" s="43" t="str">
        <f t="shared" si="247"/>
        <v/>
      </c>
      <c r="X883" s="43" t="str">
        <f t="shared" si="212"/>
        <v/>
      </c>
      <c r="Y883" s="43" t="str">
        <f t="shared" ref="Y883:Y944" si="248">IF(V883="X","x",IF(T883&gt;0,"x",""))</f>
        <v/>
      </c>
    </row>
    <row r="884" spans="1:25" hidden="1">
      <c r="A884" s="397" t="s">
        <v>217</v>
      </c>
      <c r="B884" s="165" t="s">
        <v>217</v>
      </c>
      <c r="C884" s="166"/>
      <c r="D884" s="167"/>
      <c r="E884" s="168"/>
      <c r="F884" s="169"/>
      <c r="G884" s="170"/>
      <c r="H884" s="171"/>
      <c r="I884" s="452"/>
      <c r="J884" s="454">
        <f t="shared" si="240"/>
        <v>0</v>
      </c>
      <c r="K884" s="392" t="s">
        <v>1029</v>
      </c>
      <c r="L884" s="152">
        <v>0</v>
      </c>
      <c r="M884" s="152"/>
      <c r="N884" s="402">
        <f t="shared" si="246"/>
        <v>0</v>
      </c>
      <c r="O884" s="402">
        <f t="shared" si="242"/>
        <v>0</v>
      </c>
      <c r="P884" s="403"/>
      <c r="Q884" s="152">
        <f t="shared" si="243"/>
        <v>0</v>
      </c>
      <c r="R884" s="152">
        <f t="shared" si="243"/>
        <v>0</v>
      </c>
      <c r="S884" s="402">
        <f t="shared" si="244"/>
        <v>0</v>
      </c>
      <c r="T884" s="404">
        <f t="shared" si="245"/>
        <v>0</v>
      </c>
      <c r="U884" s="403"/>
      <c r="W884" s="43" t="str">
        <f t="shared" si="247"/>
        <v/>
      </c>
      <c r="X884" s="43" t="str">
        <f t="shared" si="212"/>
        <v/>
      </c>
      <c r="Y884" s="43" t="str">
        <f t="shared" si="248"/>
        <v/>
      </c>
    </row>
    <row r="885" spans="1:25" hidden="1">
      <c r="A885" s="397" t="s">
        <v>217</v>
      </c>
      <c r="B885" s="165" t="s">
        <v>217</v>
      </c>
      <c r="C885" s="166"/>
      <c r="D885" s="167"/>
      <c r="E885" s="168"/>
      <c r="F885" s="169"/>
      <c r="G885" s="170"/>
      <c r="H885" s="171"/>
      <c r="I885" s="452"/>
      <c r="J885" s="454">
        <f t="shared" si="240"/>
        <v>0</v>
      </c>
      <c r="K885" s="392" t="s">
        <v>1029</v>
      </c>
      <c r="L885" s="152">
        <v>0</v>
      </c>
      <c r="M885" s="152"/>
      <c r="N885" s="402">
        <f t="shared" si="246"/>
        <v>0</v>
      </c>
      <c r="O885" s="402">
        <f t="shared" si="242"/>
        <v>0</v>
      </c>
      <c r="P885" s="403"/>
      <c r="Q885" s="152">
        <f t="shared" si="243"/>
        <v>0</v>
      </c>
      <c r="R885" s="152">
        <f t="shared" si="243"/>
        <v>0</v>
      </c>
      <c r="S885" s="402">
        <f t="shared" si="244"/>
        <v>0</v>
      </c>
      <c r="T885" s="404">
        <f t="shared" si="245"/>
        <v>0</v>
      </c>
      <c r="U885" s="403"/>
      <c r="W885" s="43" t="str">
        <f t="shared" si="247"/>
        <v/>
      </c>
      <c r="X885" s="43" t="str">
        <f t="shared" si="212"/>
        <v/>
      </c>
      <c r="Y885" s="43" t="str">
        <f t="shared" si="248"/>
        <v/>
      </c>
    </row>
    <row r="886" spans="1:25" hidden="1">
      <c r="A886" s="397" t="s">
        <v>217</v>
      </c>
      <c r="B886" s="165" t="s">
        <v>217</v>
      </c>
      <c r="C886" s="166"/>
      <c r="D886" s="167"/>
      <c r="E886" s="168"/>
      <c r="F886" s="169"/>
      <c r="G886" s="170"/>
      <c r="H886" s="171"/>
      <c r="I886" s="452"/>
      <c r="J886" s="454">
        <f t="shared" si="240"/>
        <v>0</v>
      </c>
      <c r="K886" s="392" t="s">
        <v>1029</v>
      </c>
      <c r="L886" s="152">
        <v>0</v>
      </c>
      <c r="M886" s="152"/>
      <c r="N886" s="402">
        <f t="shared" si="246"/>
        <v>0</v>
      </c>
      <c r="O886" s="402">
        <f t="shared" si="242"/>
        <v>0</v>
      </c>
      <c r="P886" s="403"/>
      <c r="Q886" s="152">
        <f t="shared" si="243"/>
        <v>0</v>
      </c>
      <c r="R886" s="152">
        <f t="shared" si="243"/>
        <v>0</v>
      </c>
      <c r="S886" s="402">
        <f t="shared" si="244"/>
        <v>0</v>
      </c>
      <c r="T886" s="404">
        <f t="shared" si="245"/>
        <v>0</v>
      </c>
      <c r="U886" s="403"/>
      <c r="W886" s="43" t="str">
        <f t="shared" si="247"/>
        <v/>
      </c>
      <c r="X886" s="43" t="str">
        <f t="shared" si="212"/>
        <v/>
      </c>
      <c r="Y886" s="43" t="str">
        <f t="shared" si="248"/>
        <v/>
      </c>
    </row>
    <row r="887" spans="1:25" hidden="1">
      <c r="A887" s="397" t="s">
        <v>217</v>
      </c>
      <c r="B887" s="165" t="s">
        <v>217</v>
      </c>
      <c r="C887" s="166"/>
      <c r="D887" s="167"/>
      <c r="E887" s="168"/>
      <c r="F887" s="169"/>
      <c r="G887" s="170"/>
      <c r="H887" s="171"/>
      <c r="I887" s="452"/>
      <c r="J887" s="454">
        <f t="shared" si="240"/>
        <v>0</v>
      </c>
      <c r="K887" s="392" t="s">
        <v>1029</v>
      </c>
      <c r="L887" s="152">
        <v>0</v>
      </c>
      <c r="M887" s="152"/>
      <c r="N887" s="402">
        <f t="shared" si="246"/>
        <v>0</v>
      </c>
      <c r="O887" s="402">
        <f t="shared" si="242"/>
        <v>0</v>
      </c>
      <c r="P887" s="403"/>
      <c r="Q887" s="152">
        <f t="shared" si="243"/>
        <v>0</v>
      </c>
      <c r="R887" s="152">
        <f t="shared" si="243"/>
        <v>0</v>
      </c>
      <c r="S887" s="402">
        <f t="shared" si="244"/>
        <v>0</v>
      </c>
      <c r="T887" s="404">
        <f t="shared" si="245"/>
        <v>0</v>
      </c>
      <c r="U887" s="403"/>
      <c r="W887" s="43" t="str">
        <f t="shared" si="247"/>
        <v/>
      </c>
      <c r="X887" s="43" t="str">
        <f t="shared" si="212"/>
        <v/>
      </c>
      <c r="Y887" s="43" t="str">
        <f t="shared" si="248"/>
        <v/>
      </c>
    </row>
    <row r="888" spans="1:25" ht="13.5" hidden="1" thickBot="1">
      <c r="A888" s="398" t="s">
        <v>217</v>
      </c>
      <c r="B888" s="172" t="s">
        <v>217</v>
      </c>
      <c r="C888" s="173"/>
      <c r="D888" s="174"/>
      <c r="E888" s="175"/>
      <c r="F888" s="176"/>
      <c r="G888" s="177"/>
      <c r="H888" s="178"/>
      <c r="I888" s="455"/>
      <c r="J888" s="456">
        <f t="shared" si="240"/>
        <v>0</v>
      </c>
      <c r="K888" s="393" t="s">
        <v>1029</v>
      </c>
      <c r="L888" s="469">
        <v>0</v>
      </c>
      <c r="M888" s="152"/>
      <c r="N888" s="163">
        <f t="shared" si="246"/>
        <v>0</v>
      </c>
      <c r="O888" s="163">
        <f t="shared" si="242"/>
        <v>0</v>
      </c>
      <c r="P888" s="403"/>
      <c r="Q888" s="152">
        <f t="shared" si="243"/>
        <v>0</v>
      </c>
      <c r="R888" s="152">
        <f t="shared" si="243"/>
        <v>0</v>
      </c>
      <c r="S888" s="163">
        <f t="shared" si="244"/>
        <v>0</v>
      </c>
      <c r="T888" s="179">
        <f t="shared" si="245"/>
        <v>0</v>
      </c>
      <c r="U888" s="403"/>
      <c r="W888" s="43" t="str">
        <f t="shared" si="247"/>
        <v/>
      </c>
      <c r="X888" s="43" t="str">
        <f t="shared" si="212"/>
        <v/>
      </c>
      <c r="Y888" s="43" t="str">
        <f t="shared" si="248"/>
        <v/>
      </c>
    </row>
    <row r="889" spans="1:25" ht="13.5" hidden="1" thickBot="1">
      <c r="A889" s="180" t="s">
        <v>607</v>
      </c>
      <c r="B889" s="181"/>
      <c r="C889" s="346" t="s">
        <v>608</v>
      </c>
      <c r="D889" s="137"/>
      <c r="E889" s="138"/>
      <c r="F889" s="139"/>
      <c r="G889" s="140"/>
      <c r="H889" s="141"/>
      <c r="I889" s="141"/>
      <c r="J889" s="141"/>
      <c r="K889" s="141" t="s">
        <v>1029</v>
      </c>
      <c r="L889" s="470">
        <v>0</v>
      </c>
      <c r="M889" s="141"/>
      <c r="N889" s="141"/>
      <c r="O889" s="142"/>
      <c r="P889" s="143">
        <f>SUM(O890:O981)</f>
        <v>0</v>
      </c>
      <c r="Q889" s="140"/>
      <c r="R889" s="141"/>
      <c r="S889" s="141"/>
      <c r="T889" s="142"/>
      <c r="U889" s="143">
        <f>SUM(T890:T981)</f>
        <v>0</v>
      </c>
      <c r="V889" s="144" t="str">
        <f>IF(OR(P889&gt;0,U889&gt;0),"X","")</f>
        <v/>
      </c>
      <c r="W889" s="43" t="str">
        <f t="shared" si="247"/>
        <v/>
      </c>
      <c r="X889" s="43" t="str">
        <f t="shared" si="212"/>
        <v/>
      </c>
      <c r="Y889" s="43" t="str">
        <f t="shared" si="248"/>
        <v/>
      </c>
    </row>
    <row r="890" spans="1:25" hidden="1">
      <c r="A890" s="155">
        <v>850000</v>
      </c>
      <c r="B890" s="156" t="s">
        <v>242</v>
      </c>
      <c r="C890" s="411" t="s">
        <v>394</v>
      </c>
      <c r="D890" s="351"/>
      <c r="E890" s="182">
        <v>20</v>
      </c>
      <c r="F890" s="406">
        <v>1.73</v>
      </c>
      <c r="G890" s="158">
        <f>IF(E890&lt;=30,(0.42*E890+3.55)*F890,((0.42*30+3.55)+0.35*(E890-30))*F890)</f>
        <v>20.673499999999997</v>
      </c>
      <c r="H890" s="465">
        <v>4442.9699999999993</v>
      </c>
      <c r="I890" s="465">
        <f t="shared" ref="I890:I895" si="249">IF(ISBLANK(H890),"",SUM(G890:H890))</f>
        <v>4463.6434999999992</v>
      </c>
      <c r="J890" s="407">
        <f t="shared" ref="J890:J944" si="250">IF(ISBLANK(H890),0,ROUND(I890*(1+$E$10)*(1+$E$11*D890),2))</f>
        <v>5659.9</v>
      </c>
      <c r="K890" s="408" t="s">
        <v>23</v>
      </c>
      <c r="L890" s="152">
        <v>0</v>
      </c>
      <c r="M890" s="152"/>
      <c r="N890" s="402">
        <f t="shared" ref="N890:N944" si="251">IF(ISBLANK(L890),0,ROUND(J890*L890,2))</f>
        <v>0</v>
      </c>
      <c r="O890" s="402">
        <f t="shared" ref="O890:O944" si="252">IF(ISBLANK(M890),0,ROUND(L890*M890,2))</f>
        <v>0</v>
      </c>
      <c r="P890" s="403"/>
      <c r="Q890" s="152">
        <f t="shared" ref="Q890:R904" si="253">L890</f>
        <v>0</v>
      </c>
      <c r="R890" s="152">
        <f t="shared" si="253"/>
        <v>0</v>
      </c>
      <c r="S890" s="402">
        <f t="shared" ref="S890:S944" si="254">IF(ISBLANK(Q890),0,ROUND(J890*Q890,2))</f>
        <v>0</v>
      </c>
      <c r="T890" s="404">
        <f t="shared" ref="T890:T944" si="255">IF(ISBLANK(Q890),0,ROUND(Q890*R890,2))</f>
        <v>0</v>
      </c>
      <c r="U890" s="403"/>
      <c r="W890" s="43" t="str">
        <f t="shared" si="247"/>
        <v/>
      </c>
      <c r="X890" s="43" t="str">
        <f t="shared" si="212"/>
        <v/>
      </c>
      <c r="Y890" s="43" t="str">
        <f t="shared" si="248"/>
        <v/>
      </c>
    </row>
    <row r="891" spans="1:25" hidden="1">
      <c r="A891" s="155">
        <v>603000</v>
      </c>
      <c r="B891" s="156" t="s">
        <v>242</v>
      </c>
      <c r="C891" s="411" t="s">
        <v>368</v>
      </c>
      <c r="D891" s="351"/>
      <c r="E891" s="405"/>
      <c r="F891" s="406"/>
      <c r="G891" s="158"/>
      <c r="H891" s="465">
        <v>10.199999999999999</v>
      </c>
      <c r="I891" s="465">
        <f t="shared" si="249"/>
        <v>10.199999999999999</v>
      </c>
      <c r="J891" s="407">
        <f t="shared" si="250"/>
        <v>12.93</v>
      </c>
      <c r="K891" s="408" t="s">
        <v>26</v>
      </c>
      <c r="L891" s="152">
        <v>0</v>
      </c>
      <c r="M891" s="152"/>
      <c r="N891" s="402">
        <f t="shared" si="251"/>
        <v>0</v>
      </c>
      <c r="O891" s="402">
        <f t="shared" si="252"/>
        <v>0</v>
      </c>
      <c r="P891" s="403"/>
      <c r="Q891" s="152">
        <f t="shared" si="253"/>
        <v>0</v>
      </c>
      <c r="R891" s="152">
        <f t="shared" si="253"/>
        <v>0</v>
      </c>
      <c r="S891" s="402">
        <f t="shared" si="254"/>
        <v>0</v>
      </c>
      <c r="T891" s="404">
        <f t="shared" si="255"/>
        <v>0</v>
      </c>
      <c r="U891" s="403"/>
      <c r="W891" s="43" t="str">
        <f t="shared" si="247"/>
        <v/>
      </c>
      <c r="X891" s="43" t="str">
        <f t="shared" si="212"/>
        <v/>
      </c>
      <c r="Y891" s="43" t="str">
        <f t="shared" si="248"/>
        <v/>
      </c>
    </row>
    <row r="892" spans="1:25" hidden="1">
      <c r="A892" s="155">
        <v>603300</v>
      </c>
      <c r="B892" s="156" t="s">
        <v>242</v>
      </c>
      <c r="C892" s="411" t="s">
        <v>369</v>
      </c>
      <c r="D892" s="351"/>
      <c r="E892" s="405"/>
      <c r="F892" s="406"/>
      <c r="G892" s="158"/>
      <c r="H892" s="465">
        <v>10.5</v>
      </c>
      <c r="I892" s="465">
        <f t="shared" si="249"/>
        <v>10.5</v>
      </c>
      <c r="J892" s="407">
        <f t="shared" si="250"/>
        <v>13.31</v>
      </c>
      <c r="K892" s="408" t="s">
        <v>26</v>
      </c>
      <c r="L892" s="152">
        <v>0</v>
      </c>
      <c r="M892" s="152"/>
      <c r="N892" s="402">
        <f t="shared" si="251"/>
        <v>0</v>
      </c>
      <c r="O892" s="402">
        <f t="shared" si="252"/>
        <v>0</v>
      </c>
      <c r="P892" s="403"/>
      <c r="Q892" s="152">
        <f t="shared" si="253"/>
        <v>0</v>
      </c>
      <c r="R892" s="152">
        <f t="shared" si="253"/>
        <v>0</v>
      </c>
      <c r="S892" s="402">
        <f t="shared" si="254"/>
        <v>0</v>
      </c>
      <c r="T892" s="404">
        <f t="shared" si="255"/>
        <v>0</v>
      </c>
      <c r="U892" s="403"/>
      <c r="W892" s="43" t="str">
        <f t="shared" si="247"/>
        <v/>
      </c>
      <c r="X892" s="43" t="str">
        <f t="shared" si="212"/>
        <v/>
      </c>
      <c r="Y892" s="43" t="str">
        <f t="shared" si="248"/>
        <v/>
      </c>
    </row>
    <row r="893" spans="1:25" hidden="1">
      <c r="A893" s="155">
        <v>601100</v>
      </c>
      <c r="B893" s="156" t="s">
        <v>242</v>
      </c>
      <c r="C893" s="411" t="s">
        <v>445</v>
      </c>
      <c r="D893" s="351"/>
      <c r="E893" s="405"/>
      <c r="F893" s="406"/>
      <c r="G893" s="158"/>
      <c r="H893" s="465">
        <v>38.89</v>
      </c>
      <c r="I893" s="465">
        <f t="shared" si="249"/>
        <v>38.89</v>
      </c>
      <c r="J893" s="407">
        <f t="shared" si="250"/>
        <v>49.31</v>
      </c>
      <c r="K893" s="408" t="s">
        <v>16</v>
      </c>
      <c r="L893" s="152">
        <v>0</v>
      </c>
      <c r="M893" s="152"/>
      <c r="N893" s="402">
        <f t="shared" si="251"/>
        <v>0</v>
      </c>
      <c r="O893" s="402">
        <f t="shared" si="252"/>
        <v>0</v>
      </c>
      <c r="P893" s="403"/>
      <c r="Q893" s="152">
        <f t="shared" si="253"/>
        <v>0</v>
      </c>
      <c r="R893" s="152">
        <f t="shared" si="253"/>
        <v>0</v>
      </c>
      <c r="S893" s="402">
        <f t="shared" si="254"/>
        <v>0</v>
      </c>
      <c r="T893" s="404">
        <f t="shared" si="255"/>
        <v>0</v>
      </c>
      <c r="U893" s="403"/>
      <c r="W893" s="43" t="str">
        <f t="shared" si="247"/>
        <v/>
      </c>
      <c r="X893" s="43" t="str">
        <f t="shared" si="212"/>
        <v/>
      </c>
      <c r="Y893" s="43" t="str">
        <f t="shared" si="248"/>
        <v/>
      </c>
    </row>
    <row r="894" spans="1:25" hidden="1">
      <c r="A894" s="155">
        <v>411000</v>
      </c>
      <c r="B894" s="156" t="s">
        <v>242</v>
      </c>
      <c r="C894" s="411" t="s">
        <v>380</v>
      </c>
      <c r="D894" s="351">
        <v>1</v>
      </c>
      <c r="E894" s="182">
        <v>1</v>
      </c>
      <c r="F894" s="161"/>
      <c r="G894" s="158"/>
      <c r="H894" s="457">
        <v>10.767999999999999</v>
      </c>
      <c r="I894" s="465">
        <f t="shared" si="249"/>
        <v>10.767999999999999</v>
      </c>
      <c r="J894" s="407">
        <f t="shared" si="250"/>
        <v>13.65</v>
      </c>
      <c r="K894" s="408" t="s">
        <v>16</v>
      </c>
      <c r="L894" s="152">
        <v>0</v>
      </c>
      <c r="M894" s="152"/>
      <c r="N894" s="402">
        <f t="shared" si="251"/>
        <v>0</v>
      </c>
      <c r="O894" s="402">
        <f t="shared" si="252"/>
        <v>0</v>
      </c>
      <c r="P894" s="403"/>
      <c r="Q894" s="152">
        <f t="shared" si="253"/>
        <v>0</v>
      </c>
      <c r="R894" s="152">
        <f t="shared" si="253"/>
        <v>0</v>
      </c>
      <c r="S894" s="402">
        <f t="shared" si="254"/>
        <v>0</v>
      </c>
      <c r="T894" s="404">
        <f t="shared" si="255"/>
        <v>0</v>
      </c>
      <c r="U894" s="403"/>
      <c r="W894" s="43" t="str">
        <f t="shared" si="247"/>
        <v/>
      </c>
      <c r="X894" s="43" t="str">
        <f t="shared" si="212"/>
        <v/>
      </c>
      <c r="Y894" s="43" t="str">
        <f t="shared" si="248"/>
        <v/>
      </c>
    </row>
    <row r="895" spans="1:25" hidden="1">
      <c r="A895" s="155">
        <v>520100</v>
      </c>
      <c r="B895" s="156" t="s">
        <v>242</v>
      </c>
      <c r="C895" s="411" t="s">
        <v>381</v>
      </c>
      <c r="D895" s="351">
        <v>1</v>
      </c>
      <c r="E895" s="182">
        <v>15</v>
      </c>
      <c r="F895" s="161">
        <v>1.875</v>
      </c>
      <c r="G895" s="412">
        <f>IF(E895&lt;=30,(0.6*E895+1.25)*F895,((0.6*30+1.25)+0.5*(E895-30))*F895)</f>
        <v>19.21875</v>
      </c>
      <c r="H895" s="457">
        <v>10.767999999999999</v>
      </c>
      <c r="I895" s="465">
        <f t="shared" si="249"/>
        <v>29.986750000000001</v>
      </c>
      <c r="J895" s="407">
        <f t="shared" si="250"/>
        <v>38.020000000000003</v>
      </c>
      <c r="K895" s="408" t="s">
        <v>16</v>
      </c>
      <c r="L895" s="152">
        <v>0</v>
      </c>
      <c r="M895" s="152"/>
      <c r="N895" s="402">
        <f t="shared" si="251"/>
        <v>0</v>
      </c>
      <c r="O895" s="402">
        <f t="shared" si="252"/>
        <v>0</v>
      </c>
      <c r="P895" s="403"/>
      <c r="Q895" s="152">
        <f t="shared" si="253"/>
        <v>0</v>
      </c>
      <c r="R895" s="152">
        <f t="shared" si="253"/>
        <v>0</v>
      </c>
      <c r="S895" s="402">
        <f t="shared" si="254"/>
        <v>0</v>
      </c>
      <c r="T895" s="404">
        <f t="shared" si="255"/>
        <v>0</v>
      </c>
      <c r="U895" s="403"/>
      <c r="W895" s="43" t="str">
        <f t="shared" si="247"/>
        <v/>
      </c>
      <c r="X895" s="43" t="str">
        <f t="shared" si="212"/>
        <v/>
      </c>
      <c r="Y895" s="43" t="str">
        <f t="shared" si="248"/>
        <v/>
      </c>
    </row>
    <row r="896" spans="1:25" hidden="1">
      <c r="A896" s="155">
        <v>532500</v>
      </c>
      <c r="B896" s="156" t="s">
        <v>242</v>
      </c>
      <c r="C896" s="411" t="s">
        <v>976</v>
      </c>
      <c r="D896" s="351"/>
      <c r="E896" s="182">
        <v>20</v>
      </c>
      <c r="F896" s="406">
        <v>1.73</v>
      </c>
      <c r="G896" s="412">
        <f>IF(E896&lt;=30,(0.6*E896+1.25)*F896,((0.6*30+1.25)+0.5*(E896-30))*F896)</f>
        <v>22.922499999999999</v>
      </c>
      <c r="H896" s="465">
        <v>63.64</v>
      </c>
      <c r="I896" s="465">
        <f>IF(ISBLANK(H896),"",SUM(G896:H896))*0.95</f>
        <v>82.234375</v>
      </c>
      <c r="J896" s="407">
        <f t="shared" si="250"/>
        <v>104.27</v>
      </c>
      <c r="K896" s="408" t="s">
        <v>16</v>
      </c>
      <c r="L896" s="152">
        <v>0</v>
      </c>
      <c r="M896" s="152"/>
      <c r="N896" s="402">
        <f t="shared" si="251"/>
        <v>0</v>
      </c>
      <c r="O896" s="402">
        <f t="shared" si="252"/>
        <v>0</v>
      </c>
      <c r="P896" s="403"/>
      <c r="Q896" s="152">
        <f t="shared" si="253"/>
        <v>0</v>
      </c>
      <c r="R896" s="152">
        <f t="shared" si="253"/>
        <v>0</v>
      </c>
      <c r="S896" s="402">
        <f t="shared" si="254"/>
        <v>0</v>
      </c>
      <c r="T896" s="404">
        <f t="shared" si="255"/>
        <v>0</v>
      </c>
      <c r="U896" s="403"/>
      <c r="W896" s="43" t="str">
        <f t="shared" si="247"/>
        <v/>
      </c>
      <c r="X896" s="43" t="str">
        <f t="shared" si="212"/>
        <v/>
      </c>
      <c r="Y896" s="43" t="str">
        <f t="shared" si="248"/>
        <v/>
      </c>
    </row>
    <row r="897" spans="1:25" hidden="1">
      <c r="A897" s="155">
        <v>532500</v>
      </c>
      <c r="B897" s="156" t="s">
        <v>242</v>
      </c>
      <c r="C897" s="411" t="s">
        <v>363</v>
      </c>
      <c r="D897" s="351"/>
      <c r="E897" s="405">
        <v>20</v>
      </c>
      <c r="F897" s="406">
        <v>1.73</v>
      </c>
      <c r="G897" s="412">
        <f>IF(E897&lt;=30,(0.6*E897+1.25)*F897,((0.6*30+1.25)+0.5*(E897-30))*F897)</f>
        <v>22.922499999999999</v>
      </c>
      <c r="H897" s="457">
        <v>63.64</v>
      </c>
      <c r="I897" s="465">
        <f>IF(ISBLANK(H897),"",SUM(G897:H897))*0.95</f>
        <v>82.234375</v>
      </c>
      <c r="J897" s="407">
        <f t="shared" si="250"/>
        <v>104.27</v>
      </c>
      <c r="K897" s="408" t="s">
        <v>16</v>
      </c>
      <c r="L897" s="152">
        <v>0</v>
      </c>
      <c r="M897" s="152"/>
      <c r="N897" s="402">
        <f t="shared" si="251"/>
        <v>0</v>
      </c>
      <c r="O897" s="402">
        <f t="shared" si="252"/>
        <v>0</v>
      </c>
      <c r="P897" s="403"/>
      <c r="Q897" s="152">
        <f t="shared" si="253"/>
        <v>0</v>
      </c>
      <c r="R897" s="152">
        <f t="shared" si="253"/>
        <v>0</v>
      </c>
      <c r="S897" s="402">
        <f t="shared" si="254"/>
        <v>0</v>
      </c>
      <c r="T897" s="404">
        <f t="shared" si="255"/>
        <v>0</v>
      </c>
      <c r="U897" s="403"/>
      <c r="W897" s="43" t="str">
        <f t="shared" si="247"/>
        <v/>
      </c>
      <c r="X897" s="43" t="str">
        <f t="shared" si="212"/>
        <v/>
      </c>
      <c r="Y897" s="43" t="str">
        <f t="shared" si="248"/>
        <v/>
      </c>
    </row>
    <row r="898" spans="1:25" hidden="1">
      <c r="A898" s="155">
        <v>532600</v>
      </c>
      <c r="B898" s="156" t="s">
        <v>242</v>
      </c>
      <c r="C898" s="411" t="s">
        <v>365</v>
      </c>
      <c r="D898" s="351">
        <v>1</v>
      </c>
      <c r="E898" s="405">
        <v>15</v>
      </c>
      <c r="F898" s="406">
        <v>1.875</v>
      </c>
      <c r="G898" s="412">
        <f>IF(E898&lt;=30,(0.6*E898+1.25)*F898,((0.6*30+1.25)+0.5*(E898-30))*F898)</f>
        <v>19.21875</v>
      </c>
      <c r="H898" s="465">
        <v>12.133333333333333</v>
      </c>
      <c r="I898" s="465">
        <f>IF(ISBLANK(H898),"",SUM(G898:H898))</f>
        <v>31.352083333333333</v>
      </c>
      <c r="J898" s="407">
        <f t="shared" si="250"/>
        <v>39.75</v>
      </c>
      <c r="K898" s="408" t="s">
        <v>16</v>
      </c>
      <c r="L898" s="152">
        <v>0</v>
      </c>
      <c r="M898" s="152"/>
      <c r="N898" s="402">
        <f t="shared" si="251"/>
        <v>0</v>
      </c>
      <c r="O898" s="402">
        <f t="shared" si="252"/>
        <v>0</v>
      </c>
      <c r="P898" s="403"/>
      <c r="Q898" s="152">
        <f t="shared" si="253"/>
        <v>0</v>
      </c>
      <c r="R898" s="152">
        <f t="shared" si="253"/>
        <v>0</v>
      </c>
      <c r="S898" s="402">
        <f t="shared" si="254"/>
        <v>0</v>
      </c>
      <c r="T898" s="404">
        <f t="shared" si="255"/>
        <v>0</v>
      </c>
      <c r="U898" s="403"/>
      <c r="W898" s="43" t="str">
        <f t="shared" si="247"/>
        <v/>
      </c>
      <c r="X898" s="43" t="str">
        <f t="shared" si="212"/>
        <v/>
      </c>
      <c r="Y898" s="43" t="str">
        <f t="shared" si="248"/>
        <v/>
      </c>
    </row>
    <row r="899" spans="1:25" hidden="1">
      <c r="A899" s="155">
        <v>516000</v>
      </c>
      <c r="B899" s="156" t="s">
        <v>242</v>
      </c>
      <c r="C899" s="411" t="s">
        <v>974</v>
      </c>
      <c r="D899" s="351"/>
      <c r="E899" s="405">
        <v>20</v>
      </c>
      <c r="F899" s="406">
        <v>1.5</v>
      </c>
      <c r="G899" s="412">
        <f>IF(E899&lt;=30,(0.6*E899+1.25)*F899,((0.6*30+1.25)+0.5*(E899-30))*F899)</f>
        <v>19.875</v>
      </c>
      <c r="H899" s="457">
        <v>61.94</v>
      </c>
      <c r="I899" s="465">
        <f>IF(ISBLANK(H899),"",SUM(G899:H899))</f>
        <v>81.814999999999998</v>
      </c>
      <c r="J899" s="407">
        <f t="shared" si="250"/>
        <v>103.74</v>
      </c>
      <c r="K899" s="408" t="s">
        <v>16</v>
      </c>
      <c r="L899" s="152">
        <v>0</v>
      </c>
      <c r="M899" s="152"/>
      <c r="N899" s="402">
        <f t="shared" si="251"/>
        <v>0</v>
      </c>
      <c r="O899" s="402">
        <f t="shared" si="252"/>
        <v>0</v>
      </c>
      <c r="P899" s="403"/>
      <c r="Q899" s="152">
        <f t="shared" si="253"/>
        <v>0</v>
      </c>
      <c r="R899" s="152">
        <f t="shared" si="253"/>
        <v>0</v>
      </c>
      <c r="S899" s="402">
        <f t="shared" si="254"/>
        <v>0</v>
      </c>
      <c r="T899" s="404">
        <f t="shared" si="255"/>
        <v>0</v>
      </c>
      <c r="U899" s="403"/>
      <c r="W899" s="43" t="str">
        <f t="shared" si="247"/>
        <v/>
      </c>
      <c r="X899" s="43" t="str">
        <f t="shared" si="212"/>
        <v/>
      </c>
      <c r="Y899" s="43" t="str">
        <f t="shared" si="248"/>
        <v/>
      </c>
    </row>
    <row r="900" spans="1:25" hidden="1">
      <c r="A900" s="155">
        <v>605000</v>
      </c>
      <c r="B900" s="156" t="s">
        <v>242</v>
      </c>
      <c r="C900" s="411" t="s">
        <v>459</v>
      </c>
      <c r="D900" s="351"/>
      <c r="E900" s="405"/>
      <c r="F900" s="406"/>
      <c r="G900" s="158">
        <f>SUM(G901:G903)</f>
        <v>147.12950000000001</v>
      </c>
      <c r="H900" s="465">
        <v>294.37</v>
      </c>
      <c r="I900" s="465">
        <f>IF(ISBLANK(H900),"",SUM(G900:H900))</f>
        <v>441.49950000000001</v>
      </c>
      <c r="J900" s="407">
        <f t="shared" si="250"/>
        <v>559.82000000000005</v>
      </c>
      <c r="K900" s="408" t="s">
        <v>16</v>
      </c>
      <c r="L900" s="152">
        <v>0</v>
      </c>
      <c r="M900" s="152"/>
      <c r="N900" s="402">
        <f t="shared" si="251"/>
        <v>0</v>
      </c>
      <c r="O900" s="402">
        <f t="shared" si="252"/>
        <v>0</v>
      </c>
      <c r="P900" s="403"/>
      <c r="Q900" s="152">
        <f t="shared" si="253"/>
        <v>0</v>
      </c>
      <c r="R900" s="152">
        <f t="shared" si="253"/>
        <v>0</v>
      </c>
      <c r="S900" s="402">
        <f t="shared" si="254"/>
        <v>0</v>
      </c>
      <c r="T900" s="404">
        <f t="shared" si="255"/>
        <v>0</v>
      </c>
      <c r="U900" s="403"/>
      <c r="W900" s="43" t="str">
        <f t="shared" si="247"/>
        <v/>
      </c>
      <c r="X900" s="43" t="str">
        <f t="shared" si="212"/>
        <v/>
      </c>
      <c r="Y900" s="43" t="str">
        <f t="shared" si="248"/>
        <v/>
      </c>
    </row>
    <row r="901" spans="1:25" hidden="1">
      <c r="A901" s="155" t="s">
        <v>183</v>
      </c>
      <c r="B901" s="156"/>
      <c r="C901" s="348" t="s">
        <v>251</v>
      </c>
      <c r="D901" s="351"/>
      <c r="E901" s="405">
        <v>500</v>
      </c>
      <c r="F901" s="406">
        <v>0.18</v>
      </c>
      <c r="G901" s="158">
        <f>IF(E901&lt;=30,(0.42*E901+3.55)*F901,((0.42*30+3.55)+0.35*(E901-30))*F901)</f>
        <v>32.517000000000003</v>
      </c>
      <c r="H901" s="465"/>
      <c r="I901" s="465"/>
      <c r="J901" s="407">
        <f t="shared" si="250"/>
        <v>0</v>
      </c>
      <c r="K901" s="394" t="s">
        <v>1029</v>
      </c>
      <c r="L901" s="152">
        <v>0</v>
      </c>
      <c r="M901" s="213"/>
      <c r="N901" s="402">
        <f t="shared" si="251"/>
        <v>0</v>
      </c>
      <c r="O901" s="402">
        <f t="shared" si="252"/>
        <v>0</v>
      </c>
      <c r="P901" s="403"/>
      <c r="Q901" s="212"/>
      <c r="R901" s="213"/>
      <c r="S901" s="402">
        <f t="shared" si="254"/>
        <v>0</v>
      </c>
      <c r="T901" s="404">
        <f t="shared" si="255"/>
        <v>0</v>
      </c>
      <c r="U901" s="403"/>
      <c r="V901" s="144" t="str">
        <f>IF(T900&gt;0,"xx",IF(O900&gt;0,"xy",""))</f>
        <v/>
      </c>
      <c r="W901" s="43" t="str">
        <f t="shared" si="247"/>
        <v/>
      </c>
      <c r="X901" s="43" t="str">
        <f t="shared" si="212"/>
        <v/>
      </c>
      <c r="Y901" s="43" t="str">
        <f t="shared" si="248"/>
        <v/>
      </c>
    </row>
    <row r="902" spans="1:25" hidden="1">
      <c r="A902" s="155" t="s">
        <v>183</v>
      </c>
      <c r="B902" s="156"/>
      <c r="C902" s="348" t="s">
        <v>314</v>
      </c>
      <c r="D902" s="351"/>
      <c r="E902" s="405">
        <v>180</v>
      </c>
      <c r="F902" s="406">
        <v>1.06</v>
      </c>
      <c r="G902" s="412">
        <f>IF(E902&lt;=30,(0.6*E902+1.25)*F902,((0.6*30+1.25)+0.5*(E902-30))*F902)</f>
        <v>99.905000000000001</v>
      </c>
      <c r="H902" s="465"/>
      <c r="I902" s="465"/>
      <c r="J902" s="407">
        <f t="shared" si="250"/>
        <v>0</v>
      </c>
      <c r="K902" s="394" t="s">
        <v>1029</v>
      </c>
      <c r="L902" s="152">
        <v>0</v>
      </c>
      <c r="M902" s="213"/>
      <c r="N902" s="402">
        <f t="shared" si="251"/>
        <v>0</v>
      </c>
      <c r="O902" s="402">
        <f t="shared" si="252"/>
        <v>0</v>
      </c>
      <c r="P902" s="403"/>
      <c r="Q902" s="212"/>
      <c r="R902" s="213"/>
      <c r="S902" s="402">
        <f t="shared" si="254"/>
        <v>0</v>
      </c>
      <c r="T902" s="404">
        <f t="shared" si="255"/>
        <v>0</v>
      </c>
      <c r="U902" s="403"/>
      <c r="V902" s="144" t="str">
        <f>IF(T900&gt;0,"xx",IF(O900&gt;0,"xy",""))</f>
        <v/>
      </c>
      <c r="W902" s="43" t="str">
        <f t="shared" si="247"/>
        <v/>
      </c>
      <c r="X902" s="43" t="str">
        <f t="shared" si="212"/>
        <v/>
      </c>
      <c r="Y902" s="43" t="str">
        <f t="shared" si="248"/>
        <v/>
      </c>
    </row>
    <row r="903" spans="1:25" hidden="1">
      <c r="A903" s="155" t="s">
        <v>183</v>
      </c>
      <c r="B903" s="156"/>
      <c r="C903" s="348" t="s">
        <v>323</v>
      </c>
      <c r="D903" s="351"/>
      <c r="E903" s="405">
        <v>20</v>
      </c>
      <c r="F903" s="406">
        <v>1.1100000000000001</v>
      </c>
      <c r="G903" s="412">
        <f>IF(E903&lt;=30,(0.6*E903+1.25)*F903,((0.6*30+1.25)+0.5*(E903-30))*F903)</f>
        <v>14.707500000000001</v>
      </c>
      <c r="H903" s="465"/>
      <c r="I903" s="465"/>
      <c r="J903" s="407">
        <f t="shared" si="250"/>
        <v>0</v>
      </c>
      <c r="K903" s="394" t="s">
        <v>1029</v>
      </c>
      <c r="L903" s="152">
        <v>0</v>
      </c>
      <c r="M903" s="213"/>
      <c r="N903" s="402">
        <f t="shared" si="251"/>
        <v>0</v>
      </c>
      <c r="O903" s="402">
        <f t="shared" si="252"/>
        <v>0</v>
      </c>
      <c r="P903" s="403"/>
      <c r="Q903" s="212"/>
      <c r="R903" s="213"/>
      <c r="S903" s="402">
        <f t="shared" si="254"/>
        <v>0</v>
      </c>
      <c r="T903" s="404">
        <f t="shared" si="255"/>
        <v>0</v>
      </c>
      <c r="U903" s="403"/>
      <c r="V903" s="144" t="str">
        <f>IF(T900&gt;0,"xx",IF(O900&gt;0,"xy",""))</f>
        <v/>
      </c>
      <c r="W903" s="43" t="str">
        <f t="shared" si="247"/>
        <v/>
      </c>
      <c r="X903" s="43" t="str">
        <f t="shared" si="212"/>
        <v/>
      </c>
      <c r="Y903" s="43" t="str">
        <f t="shared" si="248"/>
        <v/>
      </c>
    </row>
    <row r="904" spans="1:25" hidden="1">
      <c r="A904" s="155">
        <v>606000</v>
      </c>
      <c r="B904" s="156" t="s">
        <v>242</v>
      </c>
      <c r="C904" s="411" t="s">
        <v>460</v>
      </c>
      <c r="D904" s="351"/>
      <c r="E904" s="405"/>
      <c r="F904" s="406"/>
      <c r="G904" s="158">
        <f>SUM(G905:G907)</f>
        <v>113.73660000000001</v>
      </c>
      <c r="H904" s="465">
        <v>261.58</v>
      </c>
      <c r="I904" s="465">
        <f>IF(ISBLANK(H904),"",SUM(G904:H904))</f>
        <v>375.31659999999999</v>
      </c>
      <c r="J904" s="407">
        <f t="shared" si="250"/>
        <v>475.9</v>
      </c>
      <c r="K904" s="408" t="s">
        <v>16</v>
      </c>
      <c r="L904" s="152">
        <v>0</v>
      </c>
      <c r="M904" s="152"/>
      <c r="N904" s="402">
        <f t="shared" si="251"/>
        <v>0</v>
      </c>
      <c r="O904" s="402">
        <f t="shared" si="252"/>
        <v>0</v>
      </c>
      <c r="P904" s="403"/>
      <c r="Q904" s="152">
        <f t="shared" si="253"/>
        <v>0</v>
      </c>
      <c r="R904" s="152">
        <f t="shared" si="253"/>
        <v>0</v>
      </c>
      <c r="S904" s="402">
        <f t="shared" si="254"/>
        <v>0</v>
      </c>
      <c r="T904" s="404">
        <f t="shared" si="255"/>
        <v>0</v>
      </c>
      <c r="U904" s="403"/>
      <c r="W904" s="43" t="str">
        <f t="shared" si="247"/>
        <v/>
      </c>
      <c r="X904" s="43" t="str">
        <f t="shared" si="212"/>
        <v/>
      </c>
      <c r="Y904" s="43" t="str">
        <f t="shared" si="248"/>
        <v/>
      </c>
    </row>
    <row r="905" spans="1:25" hidden="1">
      <c r="A905" s="155" t="s">
        <v>183</v>
      </c>
      <c r="B905" s="156"/>
      <c r="C905" s="348" t="s">
        <v>251</v>
      </c>
      <c r="D905" s="351"/>
      <c r="E905" s="405">
        <v>500</v>
      </c>
      <c r="F905" s="406">
        <v>0.189</v>
      </c>
      <c r="G905" s="158">
        <f>IF(E905&lt;=30,(0.42*E905+3.55)*F905,((0.42*30+3.55)+0.35*(E905-30))*F905)</f>
        <v>34.142850000000003</v>
      </c>
      <c r="H905" s="465"/>
      <c r="I905" s="465"/>
      <c r="J905" s="407">
        <f t="shared" si="250"/>
        <v>0</v>
      </c>
      <c r="K905" s="394" t="s">
        <v>1029</v>
      </c>
      <c r="L905" s="152">
        <v>0</v>
      </c>
      <c r="M905" s="213"/>
      <c r="N905" s="402">
        <f t="shared" si="251"/>
        <v>0</v>
      </c>
      <c r="O905" s="402">
        <f t="shared" si="252"/>
        <v>0</v>
      </c>
      <c r="P905" s="403"/>
      <c r="Q905" s="212"/>
      <c r="R905" s="213"/>
      <c r="S905" s="402">
        <f t="shared" si="254"/>
        <v>0</v>
      </c>
      <c r="T905" s="404">
        <f t="shared" si="255"/>
        <v>0</v>
      </c>
      <c r="U905" s="403"/>
      <c r="V905" s="144" t="str">
        <f>IF(T904&gt;0,"xx",IF(O904&gt;0,"xy",""))</f>
        <v/>
      </c>
      <c r="W905" s="43" t="str">
        <f t="shared" si="247"/>
        <v/>
      </c>
      <c r="X905" s="43" t="str">
        <f t="shared" si="212"/>
        <v/>
      </c>
      <c r="Y905" s="43" t="str">
        <f t="shared" si="248"/>
        <v/>
      </c>
    </row>
    <row r="906" spans="1:25" hidden="1">
      <c r="A906" s="155" t="s">
        <v>183</v>
      </c>
      <c r="B906" s="156"/>
      <c r="C906" s="348" t="s">
        <v>314</v>
      </c>
      <c r="D906" s="351"/>
      <c r="E906" s="405">
        <v>180</v>
      </c>
      <c r="F906" s="406">
        <v>0.67200000000000004</v>
      </c>
      <c r="G906" s="412">
        <f>IF(E906&lt;=30,(0.6*E906+1.25)*F906,((0.6*30+1.25)+0.5*(E906-30))*F906)</f>
        <v>63.336000000000006</v>
      </c>
      <c r="H906" s="465"/>
      <c r="I906" s="465"/>
      <c r="J906" s="407">
        <f t="shared" si="250"/>
        <v>0</v>
      </c>
      <c r="K906" s="394" t="s">
        <v>1029</v>
      </c>
      <c r="L906" s="152">
        <v>0</v>
      </c>
      <c r="M906" s="213"/>
      <c r="N906" s="402">
        <f t="shared" si="251"/>
        <v>0</v>
      </c>
      <c r="O906" s="402">
        <f t="shared" si="252"/>
        <v>0</v>
      </c>
      <c r="P906" s="403"/>
      <c r="Q906" s="212"/>
      <c r="R906" s="213"/>
      <c r="S906" s="402">
        <f t="shared" si="254"/>
        <v>0</v>
      </c>
      <c r="T906" s="404">
        <f t="shared" si="255"/>
        <v>0</v>
      </c>
      <c r="U906" s="403"/>
      <c r="V906" s="144" t="str">
        <f>IF(T904&gt;0,"xx",IF(O904&gt;0,"xy",""))</f>
        <v/>
      </c>
      <c r="W906" s="43" t="str">
        <f t="shared" si="247"/>
        <v/>
      </c>
      <c r="X906" s="43" t="str">
        <f t="shared" si="212"/>
        <v/>
      </c>
      <c r="Y906" s="43" t="str">
        <f t="shared" si="248"/>
        <v/>
      </c>
    </row>
    <row r="907" spans="1:25" hidden="1">
      <c r="A907" s="155" t="s">
        <v>183</v>
      </c>
      <c r="B907" s="156"/>
      <c r="C907" s="348" t="s">
        <v>461</v>
      </c>
      <c r="D907" s="351"/>
      <c r="E907" s="405">
        <v>20</v>
      </c>
      <c r="F907" s="406">
        <v>1.2270000000000001</v>
      </c>
      <c r="G907" s="412">
        <f>IF(E907&lt;=30,(0.6*E907+1.25)*F907,((0.6*30+1.25)+0.5*(E907-30))*F907)</f>
        <v>16.257750000000001</v>
      </c>
      <c r="H907" s="465"/>
      <c r="I907" s="465"/>
      <c r="J907" s="407">
        <f t="shared" si="250"/>
        <v>0</v>
      </c>
      <c r="K907" s="394" t="s">
        <v>1029</v>
      </c>
      <c r="L907" s="152">
        <v>0</v>
      </c>
      <c r="M907" s="213"/>
      <c r="N907" s="402">
        <f t="shared" si="251"/>
        <v>0</v>
      </c>
      <c r="O907" s="402">
        <f t="shared" si="252"/>
        <v>0</v>
      </c>
      <c r="P907" s="403"/>
      <c r="Q907" s="212"/>
      <c r="R907" s="213"/>
      <c r="S907" s="402">
        <f t="shared" si="254"/>
        <v>0</v>
      </c>
      <c r="T907" s="404">
        <f t="shared" si="255"/>
        <v>0</v>
      </c>
      <c r="U907" s="403"/>
      <c r="V907" s="144" t="str">
        <f>IF(T904&gt;0,"xx",IF(O904&gt;0,"xy",""))</f>
        <v/>
      </c>
      <c r="W907" s="43" t="str">
        <f t="shared" si="247"/>
        <v/>
      </c>
      <c r="X907" s="43" t="str">
        <f t="shared" si="212"/>
        <v/>
      </c>
      <c r="Y907" s="43" t="str">
        <f t="shared" si="248"/>
        <v/>
      </c>
    </row>
    <row r="908" spans="1:25" hidden="1">
      <c r="A908" s="155">
        <v>605200</v>
      </c>
      <c r="B908" s="156" t="s">
        <v>242</v>
      </c>
      <c r="C908" s="411" t="s">
        <v>462</v>
      </c>
      <c r="D908" s="351"/>
      <c r="E908" s="405"/>
      <c r="F908" s="406"/>
      <c r="G908" s="158">
        <f>SUM(G909:G911)</f>
        <v>148.30800000000002</v>
      </c>
      <c r="H908" s="465">
        <v>324.97000000000003</v>
      </c>
      <c r="I908" s="465">
        <f>IF(ISBLANK(H908),"",SUM(G908:H908))</f>
        <v>473.27800000000002</v>
      </c>
      <c r="J908" s="407">
        <f t="shared" si="250"/>
        <v>600.12</v>
      </c>
      <c r="K908" s="408" t="s">
        <v>16</v>
      </c>
      <c r="L908" s="152">
        <v>0</v>
      </c>
      <c r="M908" s="152"/>
      <c r="N908" s="402">
        <f t="shared" si="251"/>
        <v>0</v>
      </c>
      <c r="O908" s="402">
        <f t="shared" si="252"/>
        <v>0</v>
      </c>
      <c r="P908" s="403"/>
      <c r="Q908" s="152">
        <f t="shared" ref="Q908:R916" si="256">L908</f>
        <v>0</v>
      </c>
      <c r="R908" s="152">
        <f t="shared" si="256"/>
        <v>0</v>
      </c>
      <c r="S908" s="402">
        <f t="shared" si="254"/>
        <v>0</v>
      </c>
      <c r="T908" s="404">
        <f t="shared" si="255"/>
        <v>0</v>
      </c>
      <c r="U908" s="403"/>
      <c r="W908" s="43" t="str">
        <f t="shared" si="247"/>
        <v/>
      </c>
      <c r="X908" s="43" t="str">
        <f t="shared" si="212"/>
        <v/>
      </c>
      <c r="Y908" s="43" t="str">
        <f t="shared" si="248"/>
        <v/>
      </c>
    </row>
    <row r="909" spans="1:25" hidden="1">
      <c r="A909" s="155" t="s">
        <v>183</v>
      </c>
      <c r="B909" s="156"/>
      <c r="C909" s="348" t="s">
        <v>251</v>
      </c>
      <c r="D909" s="351"/>
      <c r="E909" s="405">
        <v>500</v>
      </c>
      <c r="F909" s="406">
        <v>0.27</v>
      </c>
      <c r="G909" s="158">
        <f>IF(E909&lt;=30,(0.42*E909+3.55)*F909,((0.42*30+3.55)+0.35*(E909-30))*F909)</f>
        <v>48.775500000000008</v>
      </c>
      <c r="H909" s="465"/>
      <c r="I909" s="465"/>
      <c r="J909" s="407">
        <f t="shared" si="250"/>
        <v>0</v>
      </c>
      <c r="K909" s="394" t="s">
        <v>1029</v>
      </c>
      <c r="L909" s="152">
        <v>0</v>
      </c>
      <c r="M909" s="213"/>
      <c r="N909" s="402">
        <f t="shared" si="251"/>
        <v>0</v>
      </c>
      <c r="O909" s="402">
        <f t="shared" si="252"/>
        <v>0</v>
      </c>
      <c r="P909" s="403"/>
      <c r="Q909" s="212"/>
      <c r="R909" s="213"/>
      <c r="S909" s="402">
        <f t="shared" si="254"/>
        <v>0</v>
      </c>
      <c r="T909" s="404">
        <f t="shared" si="255"/>
        <v>0</v>
      </c>
      <c r="U909" s="403"/>
      <c r="V909" s="144" t="str">
        <f>IF(T908&gt;0,"xx",IF(O908&gt;0,"xy",""))</f>
        <v/>
      </c>
      <c r="W909" s="43" t="str">
        <f t="shared" si="247"/>
        <v/>
      </c>
      <c r="X909" s="43" t="str">
        <f t="shared" si="212"/>
        <v/>
      </c>
      <c r="Y909" s="43" t="str">
        <f t="shared" si="248"/>
        <v/>
      </c>
    </row>
    <row r="910" spans="1:25" hidden="1">
      <c r="A910" s="155" t="s">
        <v>183</v>
      </c>
      <c r="B910" s="156"/>
      <c r="C910" s="348" t="s">
        <v>314</v>
      </c>
      <c r="D910" s="351"/>
      <c r="E910" s="405">
        <v>180</v>
      </c>
      <c r="F910" s="406">
        <v>0.9</v>
      </c>
      <c r="G910" s="412">
        <f>IF(E910&lt;=30,(0.6*E910+1.25)*F910,((0.6*30+1.25)+0.5*(E910-30))*F910)</f>
        <v>84.825000000000003</v>
      </c>
      <c r="H910" s="465"/>
      <c r="I910" s="465"/>
      <c r="J910" s="407">
        <f t="shared" si="250"/>
        <v>0</v>
      </c>
      <c r="K910" s="394" t="s">
        <v>1029</v>
      </c>
      <c r="L910" s="152">
        <v>0</v>
      </c>
      <c r="M910" s="213"/>
      <c r="N910" s="402">
        <f t="shared" si="251"/>
        <v>0</v>
      </c>
      <c r="O910" s="402">
        <f t="shared" si="252"/>
        <v>0</v>
      </c>
      <c r="P910" s="403"/>
      <c r="Q910" s="212"/>
      <c r="R910" s="213"/>
      <c r="S910" s="402">
        <f t="shared" si="254"/>
        <v>0</v>
      </c>
      <c r="T910" s="404">
        <f t="shared" si="255"/>
        <v>0</v>
      </c>
      <c r="U910" s="403"/>
      <c r="V910" s="144" t="str">
        <f>IF(T908&gt;0,"xx",IF(O908&gt;0,"xy",""))</f>
        <v/>
      </c>
      <c r="W910" s="43" t="str">
        <f t="shared" si="247"/>
        <v/>
      </c>
      <c r="X910" s="43" t="str">
        <f t="shared" si="212"/>
        <v/>
      </c>
      <c r="Y910" s="43" t="str">
        <f t="shared" si="248"/>
        <v/>
      </c>
    </row>
    <row r="911" spans="1:25" hidden="1">
      <c r="A911" s="155" t="s">
        <v>183</v>
      </c>
      <c r="B911" s="156"/>
      <c r="C911" s="348" t="s">
        <v>323</v>
      </c>
      <c r="D911" s="351"/>
      <c r="E911" s="405">
        <v>20</v>
      </c>
      <c r="F911" s="406">
        <v>1.1100000000000001</v>
      </c>
      <c r="G911" s="412">
        <f>IF(E911&lt;=30,(0.6*E911+1.25)*F911,((0.6*30+1.25)+0.5*(E911-30))*F911)</f>
        <v>14.707500000000001</v>
      </c>
      <c r="H911" s="465"/>
      <c r="I911" s="465"/>
      <c r="J911" s="407">
        <f t="shared" si="250"/>
        <v>0</v>
      </c>
      <c r="K911" s="394" t="s">
        <v>1029</v>
      </c>
      <c r="L911" s="152">
        <v>0</v>
      </c>
      <c r="M911" s="213"/>
      <c r="N911" s="402">
        <f t="shared" si="251"/>
        <v>0</v>
      </c>
      <c r="O911" s="402">
        <f t="shared" si="252"/>
        <v>0</v>
      </c>
      <c r="P911" s="403"/>
      <c r="Q911" s="212"/>
      <c r="R911" s="213"/>
      <c r="S911" s="402">
        <f t="shared" si="254"/>
        <v>0</v>
      </c>
      <c r="T911" s="404">
        <f t="shared" si="255"/>
        <v>0</v>
      </c>
      <c r="U911" s="403"/>
      <c r="V911" s="144" t="str">
        <f>IF(T908&gt;0,"xx",IF(O908&gt;0,"xy",""))</f>
        <v/>
      </c>
      <c r="W911" s="43" t="str">
        <f t="shared" si="247"/>
        <v/>
      </c>
      <c r="X911" s="43" t="str">
        <f t="shared" si="212"/>
        <v/>
      </c>
      <c r="Y911" s="43" t="str">
        <f t="shared" si="248"/>
        <v/>
      </c>
    </row>
    <row r="912" spans="1:25">
      <c r="A912" s="155">
        <v>605300</v>
      </c>
      <c r="B912" s="156" t="s">
        <v>242</v>
      </c>
      <c r="C912" s="411" t="s">
        <v>463</v>
      </c>
      <c r="D912" s="351"/>
      <c r="E912" s="405"/>
      <c r="F912" s="406"/>
      <c r="G912" s="158">
        <f>SUM(G913:G915)</f>
        <v>192.71625</v>
      </c>
      <c r="H912" s="465">
        <v>346.26</v>
      </c>
      <c r="I912" s="465">
        <f>IF(ISBLANK(H912),"",SUM(G912:H912))</f>
        <v>538.97624999999994</v>
      </c>
      <c r="J912" s="407">
        <f t="shared" si="250"/>
        <v>683.42</v>
      </c>
      <c r="K912" s="408" t="s">
        <v>16</v>
      </c>
      <c r="L912" s="471"/>
      <c r="M912" s="152"/>
      <c r="N912" s="402">
        <f t="shared" si="251"/>
        <v>0</v>
      </c>
      <c r="O912" s="402">
        <f t="shared" si="252"/>
        <v>0</v>
      </c>
      <c r="P912" s="403"/>
      <c r="Q912" s="152">
        <f t="shared" si="256"/>
        <v>0</v>
      </c>
      <c r="R912" s="152">
        <f t="shared" si="256"/>
        <v>0</v>
      </c>
      <c r="S912" s="402">
        <f t="shared" si="254"/>
        <v>0</v>
      </c>
      <c r="T912" s="404">
        <f t="shared" si="255"/>
        <v>0</v>
      </c>
      <c r="U912" s="403"/>
      <c r="V912" s="160" t="s">
        <v>200</v>
      </c>
      <c r="W912" s="43" t="str">
        <f t="shared" si="247"/>
        <v>x</v>
      </c>
      <c r="X912" s="43" t="str">
        <f t="shared" si="212"/>
        <v>x</v>
      </c>
      <c r="Y912" s="43" t="str">
        <f t="shared" si="248"/>
        <v>x</v>
      </c>
    </row>
    <row r="913" spans="1:25" hidden="1">
      <c r="A913" s="155" t="s">
        <v>183</v>
      </c>
      <c r="B913" s="156"/>
      <c r="C913" s="348" t="s">
        <v>251</v>
      </c>
      <c r="D913" s="351"/>
      <c r="E913" s="405">
        <v>530</v>
      </c>
      <c r="F913" s="406">
        <v>0.33</v>
      </c>
      <c r="G913" s="158">
        <f>IF(E913&lt;=30,(0.42*E913+3.55)*F913,((0.42*30+3.55)+0.35*(E913-30))*F913)</f>
        <v>63.079500000000003</v>
      </c>
      <c r="H913" s="465"/>
      <c r="I913" s="465"/>
      <c r="J913" s="407">
        <f t="shared" si="250"/>
        <v>0</v>
      </c>
      <c r="K913" s="394" t="s">
        <v>1029</v>
      </c>
      <c r="L913" s="152">
        <v>0</v>
      </c>
      <c r="M913" s="213"/>
      <c r="N913" s="402">
        <f t="shared" si="251"/>
        <v>0</v>
      </c>
      <c r="O913" s="402">
        <f t="shared" si="252"/>
        <v>0</v>
      </c>
      <c r="P913" s="403"/>
      <c r="Q913" s="212"/>
      <c r="R913" s="213"/>
      <c r="S913" s="402">
        <f t="shared" si="254"/>
        <v>0</v>
      </c>
      <c r="T913" s="404">
        <f t="shared" si="255"/>
        <v>0</v>
      </c>
      <c r="U913" s="403"/>
      <c r="V913" s="144" t="str">
        <f>IF(T912&gt;0,"xx",IF(O912&gt;0,"xy",""))</f>
        <v/>
      </c>
      <c r="W913" s="43" t="str">
        <f t="shared" si="247"/>
        <v/>
      </c>
      <c r="X913" s="43" t="str">
        <f t="shared" si="212"/>
        <v/>
      </c>
      <c r="Y913" s="43" t="str">
        <f t="shared" si="248"/>
        <v/>
      </c>
    </row>
    <row r="914" spans="1:25" hidden="1">
      <c r="A914" s="155" t="s">
        <v>183</v>
      </c>
      <c r="B914" s="156"/>
      <c r="C914" s="348" t="s">
        <v>314</v>
      </c>
      <c r="D914" s="351"/>
      <c r="E914" s="405">
        <v>270</v>
      </c>
      <c r="F914" s="406">
        <v>0.92100000000000004</v>
      </c>
      <c r="G914" s="412">
        <f>IF(E914&lt;=30,(0.6*E914+1.25)*F914,((0.6*30+1.25)+0.5*(E914-30))*F914)</f>
        <v>128.24925000000002</v>
      </c>
      <c r="H914" s="465"/>
      <c r="I914" s="465"/>
      <c r="J914" s="407">
        <f t="shared" si="250"/>
        <v>0</v>
      </c>
      <c r="K914" s="394" t="s">
        <v>1029</v>
      </c>
      <c r="L914" s="152">
        <v>0</v>
      </c>
      <c r="M914" s="213"/>
      <c r="N914" s="402">
        <f t="shared" si="251"/>
        <v>0</v>
      </c>
      <c r="O914" s="402">
        <f t="shared" si="252"/>
        <v>0</v>
      </c>
      <c r="P914" s="403"/>
      <c r="Q914" s="212"/>
      <c r="R914" s="213"/>
      <c r="S914" s="402">
        <f t="shared" si="254"/>
        <v>0</v>
      </c>
      <c r="T914" s="404">
        <f t="shared" si="255"/>
        <v>0</v>
      </c>
      <c r="U914" s="403"/>
      <c r="V914" s="144" t="str">
        <f>IF(T912&gt;0,"xx",IF(O912&gt;0,"xy",""))</f>
        <v/>
      </c>
      <c r="W914" s="43" t="str">
        <f t="shared" si="247"/>
        <v/>
      </c>
      <c r="X914" s="43" t="str">
        <f t="shared" si="212"/>
        <v/>
      </c>
      <c r="Y914" s="43" t="str">
        <f t="shared" si="248"/>
        <v/>
      </c>
    </row>
    <row r="915" spans="1:25" hidden="1">
      <c r="A915" s="155" t="s">
        <v>183</v>
      </c>
      <c r="B915" s="156"/>
      <c r="C915" s="348" t="s">
        <v>323</v>
      </c>
      <c r="D915" s="351"/>
      <c r="E915" s="405"/>
      <c r="F915" s="406">
        <v>1.1100000000000001</v>
      </c>
      <c r="G915" s="412">
        <f>IF(E915&lt;=30,(0.6*E915+1.25)*F915,((0.6*30+1.25)+0.5*(E915-30))*F915)</f>
        <v>1.3875000000000002</v>
      </c>
      <c r="H915" s="465"/>
      <c r="I915" s="465"/>
      <c r="J915" s="407">
        <f t="shared" si="250"/>
        <v>0</v>
      </c>
      <c r="K915" s="394" t="s">
        <v>1029</v>
      </c>
      <c r="L915" s="152">
        <v>0</v>
      </c>
      <c r="M915" s="213"/>
      <c r="N915" s="402">
        <f t="shared" si="251"/>
        <v>0</v>
      </c>
      <c r="O915" s="402">
        <f t="shared" si="252"/>
        <v>0</v>
      </c>
      <c r="P915" s="403"/>
      <c r="Q915" s="212"/>
      <c r="R915" s="213"/>
      <c r="S915" s="402">
        <f t="shared" si="254"/>
        <v>0</v>
      </c>
      <c r="T915" s="404">
        <f t="shared" si="255"/>
        <v>0</v>
      </c>
      <c r="U915" s="403"/>
      <c r="V915" s="144" t="str">
        <f>IF(T912&gt;0,"xx",IF(O912&gt;0,"xy",""))</f>
        <v/>
      </c>
      <c r="W915" s="43" t="str">
        <f t="shared" si="247"/>
        <v/>
      </c>
      <c r="X915" s="43" t="str">
        <f t="shared" si="212"/>
        <v/>
      </c>
      <c r="Y915" s="43" t="str">
        <f t="shared" si="248"/>
        <v/>
      </c>
    </row>
    <row r="916" spans="1:25" hidden="1">
      <c r="A916" s="155">
        <v>605400</v>
      </c>
      <c r="B916" s="156" t="s">
        <v>242</v>
      </c>
      <c r="C916" s="411" t="s">
        <v>464</v>
      </c>
      <c r="D916" s="351"/>
      <c r="E916" s="405"/>
      <c r="F916" s="406"/>
      <c r="G916" s="158">
        <f>SUM(G917:G919)</f>
        <v>147.12950000000001</v>
      </c>
      <c r="H916" s="465">
        <v>351.32</v>
      </c>
      <c r="I916" s="465">
        <f>IF(ISBLANK(H916),"",SUM(G916:H916))</f>
        <v>498.4495</v>
      </c>
      <c r="J916" s="407">
        <f t="shared" si="250"/>
        <v>632.03</v>
      </c>
      <c r="K916" s="408" t="s">
        <v>16</v>
      </c>
      <c r="L916" s="152">
        <v>0</v>
      </c>
      <c r="M916" s="152"/>
      <c r="N916" s="402">
        <f t="shared" si="251"/>
        <v>0</v>
      </c>
      <c r="O916" s="402">
        <f t="shared" si="252"/>
        <v>0</v>
      </c>
      <c r="P916" s="403"/>
      <c r="Q916" s="152">
        <f t="shared" si="256"/>
        <v>0</v>
      </c>
      <c r="R916" s="152">
        <f t="shared" si="256"/>
        <v>0</v>
      </c>
      <c r="S916" s="402">
        <f t="shared" si="254"/>
        <v>0</v>
      </c>
      <c r="T916" s="404">
        <f t="shared" si="255"/>
        <v>0</v>
      </c>
      <c r="U916" s="403"/>
      <c r="W916" s="43" t="str">
        <f t="shared" si="247"/>
        <v/>
      </c>
      <c r="X916" s="43" t="str">
        <f t="shared" si="212"/>
        <v/>
      </c>
      <c r="Y916" s="43" t="str">
        <f t="shared" si="248"/>
        <v/>
      </c>
    </row>
    <row r="917" spans="1:25" hidden="1">
      <c r="A917" s="155" t="s">
        <v>183</v>
      </c>
      <c r="B917" s="156"/>
      <c r="C917" s="348" t="s">
        <v>251</v>
      </c>
      <c r="D917" s="351"/>
      <c r="E917" s="405">
        <v>500</v>
      </c>
      <c r="F917" s="406">
        <v>0.18</v>
      </c>
      <c r="G917" s="158">
        <f>IF(E917&lt;=30,(0.42*E917+3.55)*F917,((0.42*30+3.55)+0.35*(E917-30))*F917)</f>
        <v>32.517000000000003</v>
      </c>
      <c r="H917" s="465">
        <v>0</v>
      </c>
      <c r="I917" s="465"/>
      <c r="J917" s="407">
        <f t="shared" si="250"/>
        <v>0</v>
      </c>
      <c r="K917" s="394" t="s">
        <v>1029</v>
      </c>
      <c r="L917" s="152">
        <v>0</v>
      </c>
      <c r="M917" s="213"/>
      <c r="N917" s="402">
        <f t="shared" si="251"/>
        <v>0</v>
      </c>
      <c r="O917" s="402">
        <f t="shared" si="252"/>
        <v>0</v>
      </c>
      <c r="P917" s="403"/>
      <c r="Q917" s="212"/>
      <c r="R917" s="213"/>
      <c r="S917" s="402">
        <f t="shared" si="254"/>
        <v>0</v>
      </c>
      <c r="T917" s="404">
        <f t="shared" si="255"/>
        <v>0</v>
      </c>
      <c r="U917" s="403"/>
      <c r="V917" s="144" t="str">
        <f>IF(T916&gt;0,"xx",IF(O916&gt;0,"xy",""))</f>
        <v/>
      </c>
      <c r="W917" s="43" t="str">
        <f t="shared" si="247"/>
        <v/>
      </c>
      <c r="X917" s="43" t="str">
        <f t="shared" si="212"/>
        <v/>
      </c>
      <c r="Y917" s="43" t="str">
        <f t="shared" si="248"/>
        <v/>
      </c>
    </row>
    <row r="918" spans="1:25" hidden="1">
      <c r="A918" s="155" t="s">
        <v>183</v>
      </c>
      <c r="B918" s="156"/>
      <c r="C918" s="348" t="s">
        <v>314</v>
      </c>
      <c r="D918" s="351"/>
      <c r="E918" s="405">
        <v>180</v>
      </c>
      <c r="F918" s="406">
        <v>1.06</v>
      </c>
      <c r="G918" s="412">
        <f>IF(E918&lt;=30,(0.6*E918+1.25)*F918,((0.6*30+1.25)+0.5*(E918-30))*F918)</f>
        <v>99.905000000000001</v>
      </c>
      <c r="H918" s="465">
        <v>0</v>
      </c>
      <c r="I918" s="465"/>
      <c r="J918" s="407">
        <f t="shared" si="250"/>
        <v>0</v>
      </c>
      <c r="K918" s="394" t="s">
        <v>1029</v>
      </c>
      <c r="L918" s="152">
        <v>0</v>
      </c>
      <c r="M918" s="213"/>
      <c r="N918" s="402">
        <f t="shared" si="251"/>
        <v>0</v>
      </c>
      <c r="O918" s="402">
        <f t="shared" si="252"/>
        <v>0</v>
      </c>
      <c r="P918" s="403"/>
      <c r="Q918" s="212"/>
      <c r="R918" s="213"/>
      <c r="S918" s="402">
        <f t="shared" si="254"/>
        <v>0</v>
      </c>
      <c r="T918" s="404">
        <f t="shared" si="255"/>
        <v>0</v>
      </c>
      <c r="U918" s="403"/>
      <c r="V918" s="144" t="str">
        <f>IF(T916&gt;0,"xx",IF(O916&gt;0,"xy",""))</f>
        <v/>
      </c>
      <c r="W918" s="43" t="str">
        <f t="shared" si="247"/>
        <v/>
      </c>
      <c r="X918" s="43" t="str">
        <f t="shared" si="212"/>
        <v/>
      </c>
      <c r="Y918" s="43" t="str">
        <f t="shared" si="248"/>
        <v/>
      </c>
    </row>
    <row r="919" spans="1:25" hidden="1">
      <c r="A919" s="155" t="s">
        <v>183</v>
      </c>
      <c r="B919" s="156"/>
      <c r="C919" s="348" t="s">
        <v>323</v>
      </c>
      <c r="D919" s="351"/>
      <c r="E919" s="405">
        <v>20</v>
      </c>
      <c r="F919" s="406">
        <v>1.1100000000000001</v>
      </c>
      <c r="G919" s="412">
        <f>IF(E919&lt;=30,(0.6*E919+1.25)*F919,((0.6*30+1.25)+0.5*(E919-30))*F919)</f>
        <v>14.707500000000001</v>
      </c>
      <c r="H919" s="465">
        <v>0</v>
      </c>
      <c r="I919" s="465"/>
      <c r="J919" s="407">
        <f t="shared" si="250"/>
        <v>0</v>
      </c>
      <c r="K919" s="394" t="s">
        <v>1029</v>
      </c>
      <c r="L919" s="152">
        <v>0</v>
      </c>
      <c r="M919" s="213"/>
      <c r="N919" s="402">
        <f t="shared" si="251"/>
        <v>0</v>
      </c>
      <c r="O919" s="402">
        <f t="shared" si="252"/>
        <v>0</v>
      </c>
      <c r="P919" s="403"/>
      <c r="Q919" s="212"/>
      <c r="R919" s="213"/>
      <c r="S919" s="402">
        <f t="shared" si="254"/>
        <v>0</v>
      </c>
      <c r="T919" s="404">
        <f t="shared" si="255"/>
        <v>0</v>
      </c>
      <c r="U919" s="403"/>
      <c r="V919" s="144" t="str">
        <f>IF(T916&gt;0,"xx",IF(O916&gt;0,"xy",""))</f>
        <v/>
      </c>
      <c r="W919" s="43" t="str">
        <f t="shared" si="247"/>
        <v/>
      </c>
      <c r="X919" s="43" t="str">
        <f t="shared" si="212"/>
        <v/>
      </c>
      <c r="Y919" s="43" t="str">
        <f t="shared" si="248"/>
        <v/>
      </c>
    </row>
    <row r="920" spans="1:25" hidden="1">
      <c r="A920" s="155">
        <v>831000</v>
      </c>
      <c r="B920" s="156" t="s">
        <v>242</v>
      </c>
      <c r="C920" s="411" t="s">
        <v>373</v>
      </c>
      <c r="D920" s="351"/>
      <c r="E920" s="405"/>
      <c r="F920" s="406"/>
      <c r="G920" s="158">
        <v>0</v>
      </c>
      <c r="H920" s="465">
        <v>25.950000000000003</v>
      </c>
      <c r="I920" s="465">
        <f>IF(ISBLANK(H920),"",SUM(G920:H920))</f>
        <v>25.950000000000003</v>
      </c>
      <c r="J920" s="407">
        <f t="shared" si="250"/>
        <v>32.9</v>
      </c>
      <c r="K920" s="408" t="s">
        <v>20</v>
      </c>
      <c r="L920" s="152">
        <v>0</v>
      </c>
      <c r="M920" s="152"/>
      <c r="N920" s="402">
        <f t="shared" si="251"/>
        <v>0</v>
      </c>
      <c r="O920" s="402">
        <f t="shared" si="252"/>
        <v>0</v>
      </c>
      <c r="P920" s="403"/>
      <c r="Q920" s="152">
        <f t="shared" ref="Q920:R933" si="257">L920</f>
        <v>0</v>
      </c>
      <c r="R920" s="152">
        <f t="shared" si="257"/>
        <v>0</v>
      </c>
      <c r="S920" s="402">
        <f t="shared" si="254"/>
        <v>0</v>
      </c>
      <c r="T920" s="404">
        <f t="shared" si="255"/>
        <v>0</v>
      </c>
      <c r="U920" s="403"/>
      <c r="W920" s="43" t="str">
        <f t="shared" si="247"/>
        <v/>
      </c>
      <c r="X920" s="43" t="str">
        <f t="shared" si="212"/>
        <v/>
      </c>
      <c r="Y920" s="43" t="str">
        <f t="shared" si="248"/>
        <v/>
      </c>
    </row>
    <row r="921" spans="1:25" hidden="1">
      <c r="A921" s="155">
        <v>830000</v>
      </c>
      <c r="B921" s="156" t="s">
        <v>242</v>
      </c>
      <c r="C921" s="411" t="s">
        <v>374</v>
      </c>
      <c r="D921" s="351"/>
      <c r="E921" s="405"/>
      <c r="F921" s="406"/>
      <c r="G921" s="158">
        <v>0</v>
      </c>
      <c r="H921" s="465">
        <v>26.700000000000003</v>
      </c>
      <c r="I921" s="465">
        <f>IF(ISBLANK(H921),"",SUM(G921:H921))</f>
        <v>26.700000000000003</v>
      </c>
      <c r="J921" s="407">
        <f t="shared" si="250"/>
        <v>33.86</v>
      </c>
      <c r="K921" s="408" t="s">
        <v>20</v>
      </c>
      <c r="L921" s="152">
        <v>0</v>
      </c>
      <c r="M921" s="152"/>
      <c r="N921" s="402">
        <f t="shared" si="251"/>
        <v>0</v>
      </c>
      <c r="O921" s="402">
        <f t="shared" si="252"/>
        <v>0</v>
      </c>
      <c r="P921" s="403"/>
      <c r="Q921" s="152">
        <f t="shared" si="257"/>
        <v>0</v>
      </c>
      <c r="R921" s="152">
        <f t="shared" si="257"/>
        <v>0</v>
      </c>
      <c r="S921" s="402">
        <f t="shared" si="254"/>
        <v>0</v>
      </c>
      <c r="T921" s="404">
        <f t="shared" si="255"/>
        <v>0</v>
      </c>
      <c r="U921" s="403"/>
      <c r="W921" s="43" t="str">
        <f t="shared" si="247"/>
        <v/>
      </c>
      <c r="X921" s="43" t="str">
        <f t="shared" si="212"/>
        <v/>
      </c>
      <c r="Y921" s="43" t="str">
        <f t="shared" si="248"/>
        <v/>
      </c>
    </row>
    <row r="922" spans="1:25" hidden="1">
      <c r="A922" s="155">
        <v>823000</v>
      </c>
      <c r="B922" s="156" t="s">
        <v>242</v>
      </c>
      <c r="C922" s="411" t="s">
        <v>377</v>
      </c>
      <c r="D922" s="351"/>
      <c r="E922" s="405">
        <v>0</v>
      </c>
      <c r="F922" s="406"/>
      <c r="G922" s="158">
        <v>0</v>
      </c>
      <c r="H922" s="465">
        <v>201.32</v>
      </c>
      <c r="I922" s="465">
        <f>IF(ISBLANK(H922),"",SUM(G922:H922))</f>
        <v>201.32</v>
      </c>
      <c r="J922" s="407">
        <f t="shared" si="250"/>
        <v>255.27</v>
      </c>
      <c r="K922" s="408" t="s">
        <v>20</v>
      </c>
      <c r="L922" s="152">
        <v>0</v>
      </c>
      <c r="M922" s="152"/>
      <c r="N922" s="402">
        <f t="shared" si="251"/>
        <v>0</v>
      </c>
      <c r="O922" s="402">
        <f t="shared" si="252"/>
        <v>0</v>
      </c>
      <c r="P922" s="403"/>
      <c r="Q922" s="152">
        <f t="shared" si="257"/>
        <v>0</v>
      </c>
      <c r="R922" s="152">
        <f t="shared" si="257"/>
        <v>0</v>
      </c>
      <c r="S922" s="402">
        <f t="shared" si="254"/>
        <v>0</v>
      </c>
      <c r="T922" s="404">
        <f t="shared" si="255"/>
        <v>0</v>
      </c>
      <c r="U922" s="403"/>
      <c r="W922" s="43" t="str">
        <f t="shared" si="247"/>
        <v/>
      </c>
      <c r="X922" s="43" t="str">
        <f t="shared" si="212"/>
        <v/>
      </c>
      <c r="Y922" s="43" t="str">
        <f t="shared" si="248"/>
        <v/>
      </c>
    </row>
    <row r="923" spans="1:25" hidden="1">
      <c r="A923" s="155" t="s">
        <v>662</v>
      </c>
      <c r="B923" s="156" t="s">
        <v>241</v>
      </c>
      <c r="C923" s="411" t="s">
        <v>655</v>
      </c>
      <c r="D923" s="351"/>
      <c r="E923" s="405"/>
      <c r="F923" s="406"/>
      <c r="G923" s="158">
        <f>IF(E923&lt;=30,(0.31*E923+0.77)*F923,((0.31*30+0.77)+0.31*(E923-30))*F923)</f>
        <v>0</v>
      </c>
      <c r="H923" s="465">
        <v>73.17</v>
      </c>
      <c r="I923" s="465">
        <f t="shared" ref="I923:I924" si="258">IF(ISBLANK(H923),"",SUM(G923:H923))</f>
        <v>73.17</v>
      </c>
      <c r="J923" s="407">
        <f t="shared" si="250"/>
        <v>92.78</v>
      </c>
      <c r="K923" s="408" t="s">
        <v>16</v>
      </c>
      <c r="L923" s="152">
        <v>0</v>
      </c>
      <c r="M923" s="152"/>
      <c r="N923" s="402">
        <f t="shared" si="251"/>
        <v>0</v>
      </c>
      <c r="O923" s="402">
        <f t="shared" si="252"/>
        <v>0</v>
      </c>
      <c r="P923" s="403"/>
      <c r="Q923" s="152">
        <f t="shared" si="257"/>
        <v>0</v>
      </c>
      <c r="R923" s="152">
        <f t="shared" si="257"/>
        <v>0</v>
      </c>
      <c r="S923" s="402">
        <f t="shared" si="254"/>
        <v>0</v>
      </c>
      <c r="T923" s="404">
        <f t="shared" si="255"/>
        <v>0</v>
      </c>
      <c r="U923" s="403"/>
      <c r="W923" s="43" t="str">
        <f t="shared" si="247"/>
        <v/>
      </c>
      <c r="X923" s="43" t="str">
        <f t="shared" si="212"/>
        <v/>
      </c>
      <c r="Y923" s="43" t="str">
        <f t="shared" si="248"/>
        <v/>
      </c>
    </row>
    <row r="924" spans="1:25" hidden="1">
      <c r="A924" s="155" t="s">
        <v>663</v>
      </c>
      <c r="B924" s="156" t="s">
        <v>241</v>
      </c>
      <c r="C924" s="411" t="s">
        <v>371</v>
      </c>
      <c r="D924" s="351"/>
      <c r="E924" s="405">
        <v>0</v>
      </c>
      <c r="F924" s="406"/>
      <c r="G924" s="158">
        <v>0</v>
      </c>
      <c r="H924" s="465">
        <v>91.46</v>
      </c>
      <c r="I924" s="465">
        <f t="shared" si="258"/>
        <v>91.46</v>
      </c>
      <c r="J924" s="407">
        <f t="shared" si="250"/>
        <v>115.97</v>
      </c>
      <c r="K924" s="408" t="s">
        <v>20</v>
      </c>
      <c r="L924" s="152">
        <v>0</v>
      </c>
      <c r="M924" s="152"/>
      <c r="N924" s="402">
        <f t="shared" si="251"/>
        <v>0</v>
      </c>
      <c r="O924" s="402">
        <f t="shared" si="252"/>
        <v>0</v>
      </c>
      <c r="P924" s="403"/>
      <c r="Q924" s="152">
        <f t="shared" si="257"/>
        <v>0</v>
      </c>
      <c r="R924" s="152">
        <f t="shared" si="257"/>
        <v>0</v>
      </c>
      <c r="S924" s="402">
        <f t="shared" si="254"/>
        <v>0</v>
      </c>
      <c r="T924" s="404">
        <f t="shared" si="255"/>
        <v>0</v>
      </c>
      <c r="U924" s="403"/>
      <c r="W924" s="43" t="str">
        <f t="shared" si="247"/>
        <v/>
      </c>
      <c r="X924" s="43" t="str">
        <f t="shared" si="212"/>
        <v/>
      </c>
      <c r="Y924" s="43" t="str">
        <f t="shared" si="248"/>
        <v/>
      </c>
    </row>
    <row r="925" spans="1:25" hidden="1">
      <c r="A925" s="155">
        <v>606600</v>
      </c>
      <c r="B925" s="156" t="s">
        <v>242</v>
      </c>
      <c r="C925" s="411" t="s">
        <v>235</v>
      </c>
      <c r="D925" s="351"/>
      <c r="E925" s="405">
        <v>0</v>
      </c>
      <c r="F925" s="406"/>
      <c r="G925" s="158">
        <v>0</v>
      </c>
      <c r="H925" s="465">
        <v>198.35</v>
      </c>
      <c r="I925" s="465">
        <f>IF(ISBLANK(H925),"",SUM(G925:H925))</f>
        <v>198.35</v>
      </c>
      <c r="J925" s="407">
        <f t="shared" si="250"/>
        <v>251.51</v>
      </c>
      <c r="K925" s="408" t="s">
        <v>16</v>
      </c>
      <c r="L925" s="152">
        <v>0</v>
      </c>
      <c r="M925" s="152"/>
      <c r="N925" s="402">
        <f t="shared" si="251"/>
        <v>0</v>
      </c>
      <c r="O925" s="402">
        <f t="shared" si="252"/>
        <v>0</v>
      </c>
      <c r="P925" s="403"/>
      <c r="Q925" s="152">
        <f t="shared" si="257"/>
        <v>0</v>
      </c>
      <c r="R925" s="152">
        <f t="shared" si="257"/>
        <v>0</v>
      </c>
      <c r="S925" s="402">
        <f t="shared" si="254"/>
        <v>0</v>
      </c>
      <c r="T925" s="404">
        <f t="shared" si="255"/>
        <v>0</v>
      </c>
      <c r="U925" s="403"/>
      <c r="W925" s="43" t="str">
        <f t="shared" si="247"/>
        <v/>
      </c>
      <c r="X925" s="43" t="str">
        <f t="shared" si="212"/>
        <v/>
      </c>
      <c r="Y925" s="43" t="str">
        <f t="shared" si="248"/>
        <v/>
      </c>
    </row>
    <row r="926" spans="1:25" hidden="1">
      <c r="A926" s="155">
        <v>606700</v>
      </c>
      <c r="B926" s="156" t="s">
        <v>242</v>
      </c>
      <c r="C926" s="411" t="s">
        <v>361</v>
      </c>
      <c r="D926" s="351"/>
      <c r="E926" s="405">
        <v>0</v>
      </c>
      <c r="F926" s="406"/>
      <c r="G926" s="158">
        <v>0</v>
      </c>
      <c r="H926" s="465">
        <v>94.29</v>
      </c>
      <c r="I926" s="465">
        <f>IF(ISBLANK(H926),"",SUM(G926:H926))</f>
        <v>94.29</v>
      </c>
      <c r="J926" s="407">
        <f t="shared" si="250"/>
        <v>119.56</v>
      </c>
      <c r="K926" s="408" t="s">
        <v>16</v>
      </c>
      <c r="L926" s="152">
        <v>0</v>
      </c>
      <c r="M926" s="152"/>
      <c r="N926" s="402">
        <f t="shared" si="251"/>
        <v>0</v>
      </c>
      <c r="O926" s="402">
        <f t="shared" si="252"/>
        <v>0</v>
      </c>
      <c r="P926" s="403"/>
      <c r="Q926" s="152">
        <f t="shared" si="257"/>
        <v>0</v>
      </c>
      <c r="R926" s="152">
        <f t="shared" si="257"/>
        <v>0</v>
      </c>
      <c r="S926" s="402">
        <f t="shared" si="254"/>
        <v>0</v>
      </c>
      <c r="T926" s="404">
        <f t="shared" si="255"/>
        <v>0</v>
      </c>
      <c r="U926" s="403"/>
      <c r="W926" s="43" t="str">
        <f t="shared" si="247"/>
        <v/>
      </c>
      <c r="X926" s="43" t="str">
        <f t="shared" si="212"/>
        <v/>
      </c>
      <c r="Y926" s="43" t="str">
        <f t="shared" si="248"/>
        <v/>
      </c>
    </row>
    <row r="927" spans="1:25" hidden="1">
      <c r="A927" s="155">
        <v>603700</v>
      </c>
      <c r="B927" s="156" t="s">
        <v>242</v>
      </c>
      <c r="C927" s="411" t="s">
        <v>449</v>
      </c>
      <c r="D927" s="351"/>
      <c r="E927" s="405">
        <v>20</v>
      </c>
      <c r="F927" s="406">
        <v>1.5</v>
      </c>
      <c r="G927" s="412">
        <f>IF(E927&lt;=30,(0.6*E927+1.25)*F927,((0.6*30+1.25)+0.5*(E927-30))*F927)</f>
        <v>19.875</v>
      </c>
      <c r="H927" s="465">
        <v>149.06</v>
      </c>
      <c r="I927" s="465">
        <f>IF(ISBLANK(H927),"",SUM(G927:H927))*0.9</f>
        <v>152.04150000000001</v>
      </c>
      <c r="J927" s="407">
        <f t="shared" si="250"/>
        <v>192.79</v>
      </c>
      <c r="K927" s="408" t="s">
        <v>16</v>
      </c>
      <c r="L927" s="152">
        <v>0</v>
      </c>
      <c r="M927" s="152"/>
      <c r="N927" s="402">
        <f t="shared" si="251"/>
        <v>0</v>
      </c>
      <c r="O927" s="402">
        <f t="shared" si="252"/>
        <v>0</v>
      </c>
      <c r="P927" s="403"/>
      <c r="Q927" s="152">
        <f t="shared" si="257"/>
        <v>0</v>
      </c>
      <c r="R927" s="152">
        <f t="shared" si="257"/>
        <v>0</v>
      </c>
      <c r="S927" s="402">
        <f t="shared" si="254"/>
        <v>0</v>
      </c>
      <c r="T927" s="404">
        <f t="shared" si="255"/>
        <v>0</v>
      </c>
      <c r="U927" s="403"/>
      <c r="V927" s="144"/>
      <c r="W927" s="43" t="str">
        <f t="shared" si="247"/>
        <v/>
      </c>
      <c r="X927" s="43" t="str">
        <f t="shared" si="212"/>
        <v/>
      </c>
      <c r="Y927" s="43" t="str">
        <f t="shared" si="248"/>
        <v/>
      </c>
    </row>
    <row r="928" spans="1:25" hidden="1">
      <c r="A928" s="155">
        <v>603800</v>
      </c>
      <c r="B928" s="156" t="s">
        <v>242</v>
      </c>
      <c r="C928" s="411" t="s">
        <v>450</v>
      </c>
      <c r="D928" s="351"/>
      <c r="E928" s="405">
        <v>20</v>
      </c>
      <c r="F928" s="406">
        <v>1.5</v>
      </c>
      <c r="G928" s="412">
        <f>IF(E928&lt;=30,(0.6*E928+1.25)*F928,((0.6*30+1.25)+0.5*(E928-30))*F928)</f>
        <v>19.875</v>
      </c>
      <c r="H928" s="465">
        <v>86.67</v>
      </c>
      <c r="I928" s="465">
        <f>IF(ISBLANK(H928),"",SUM(G928:H928))*0.9</f>
        <v>95.890500000000003</v>
      </c>
      <c r="J928" s="407">
        <f t="shared" si="250"/>
        <v>121.59</v>
      </c>
      <c r="K928" s="408" t="s">
        <v>16</v>
      </c>
      <c r="L928" s="152">
        <v>0</v>
      </c>
      <c r="M928" s="152"/>
      <c r="N928" s="402">
        <f t="shared" si="251"/>
        <v>0</v>
      </c>
      <c r="O928" s="402">
        <f t="shared" si="252"/>
        <v>0</v>
      </c>
      <c r="P928" s="403"/>
      <c r="Q928" s="152">
        <f t="shared" si="257"/>
        <v>0</v>
      </c>
      <c r="R928" s="152">
        <f t="shared" si="257"/>
        <v>0</v>
      </c>
      <c r="S928" s="402">
        <f t="shared" si="254"/>
        <v>0</v>
      </c>
      <c r="T928" s="404">
        <f t="shared" si="255"/>
        <v>0</v>
      </c>
      <c r="U928" s="403"/>
      <c r="W928" s="43" t="str">
        <f t="shared" si="247"/>
        <v/>
      </c>
      <c r="X928" s="43" t="str">
        <f t="shared" si="212"/>
        <v/>
      </c>
      <c r="Y928" s="43" t="str">
        <f t="shared" si="248"/>
        <v/>
      </c>
    </row>
    <row r="929" spans="1:25" hidden="1">
      <c r="A929" s="155">
        <v>600000</v>
      </c>
      <c r="B929" s="156" t="s">
        <v>242</v>
      </c>
      <c r="C929" s="411" t="s">
        <v>430</v>
      </c>
      <c r="D929" s="351"/>
      <c r="E929" s="405">
        <v>0</v>
      </c>
      <c r="F929" s="406">
        <v>0</v>
      </c>
      <c r="G929" s="158">
        <v>0</v>
      </c>
      <c r="H929" s="465">
        <v>35.65</v>
      </c>
      <c r="I929" s="465">
        <f>IF(ISBLANK(H929),"",SUM(G929:H929))</f>
        <v>35.65</v>
      </c>
      <c r="J929" s="407">
        <f t="shared" si="250"/>
        <v>45.2</v>
      </c>
      <c r="K929" s="408" t="s">
        <v>16</v>
      </c>
      <c r="L929" s="152">
        <v>0</v>
      </c>
      <c r="M929" s="152"/>
      <c r="N929" s="402">
        <f t="shared" si="251"/>
        <v>0</v>
      </c>
      <c r="O929" s="402">
        <f t="shared" si="252"/>
        <v>0</v>
      </c>
      <c r="P929" s="403"/>
      <c r="Q929" s="152">
        <f t="shared" si="257"/>
        <v>0</v>
      </c>
      <c r="R929" s="152">
        <f t="shared" si="257"/>
        <v>0</v>
      </c>
      <c r="S929" s="402">
        <f t="shared" si="254"/>
        <v>0</v>
      </c>
      <c r="T929" s="404">
        <f t="shared" si="255"/>
        <v>0</v>
      </c>
      <c r="U929" s="403"/>
      <c r="W929" s="43" t="str">
        <f t="shared" si="247"/>
        <v/>
      </c>
      <c r="X929" s="43" t="str">
        <f t="shared" si="212"/>
        <v/>
      </c>
      <c r="Y929" s="43" t="str">
        <f t="shared" si="248"/>
        <v/>
      </c>
    </row>
    <row r="930" spans="1:25" hidden="1">
      <c r="A930" s="155">
        <v>602100</v>
      </c>
      <c r="B930" s="156" t="s">
        <v>242</v>
      </c>
      <c r="C930" s="411" t="s">
        <v>367</v>
      </c>
      <c r="D930" s="351"/>
      <c r="E930" s="405"/>
      <c r="F930" s="406"/>
      <c r="G930" s="158">
        <f>IF(E930&lt;=30,(0.31*E930+0.77)*F930,((0.31*30+0.77)+0.31*(E930-30))*F930)</f>
        <v>0</v>
      </c>
      <c r="H930" s="465">
        <v>70.16</v>
      </c>
      <c r="I930" s="465">
        <f>IF(ISBLANK(H930),"",SUM(G930:H930))</f>
        <v>70.16</v>
      </c>
      <c r="J930" s="407">
        <f t="shared" si="250"/>
        <v>88.96</v>
      </c>
      <c r="K930" s="408" t="s">
        <v>18</v>
      </c>
      <c r="L930" s="152">
        <v>0</v>
      </c>
      <c r="M930" s="152"/>
      <c r="N930" s="402">
        <f t="shared" si="251"/>
        <v>0</v>
      </c>
      <c r="O930" s="402">
        <f t="shared" si="252"/>
        <v>0</v>
      </c>
      <c r="P930" s="403"/>
      <c r="Q930" s="152">
        <f t="shared" si="257"/>
        <v>0</v>
      </c>
      <c r="R930" s="152">
        <f t="shared" si="257"/>
        <v>0</v>
      </c>
      <c r="S930" s="402">
        <f t="shared" si="254"/>
        <v>0</v>
      </c>
      <c r="T930" s="404">
        <f t="shared" si="255"/>
        <v>0</v>
      </c>
      <c r="U930" s="403"/>
      <c r="W930" s="43" t="str">
        <f t="shared" si="247"/>
        <v/>
      </c>
      <c r="X930" s="43" t="str">
        <f t="shared" si="212"/>
        <v/>
      </c>
      <c r="Y930" s="43" t="str">
        <f t="shared" si="248"/>
        <v/>
      </c>
    </row>
    <row r="931" spans="1:25" hidden="1">
      <c r="A931" s="155">
        <v>532500</v>
      </c>
      <c r="B931" s="156" t="s">
        <v>242</v>
      </c>
      <c r="C931" s="347" t="s">
        <v>451</v>
      </c>
      <c r="D931" s="351"/>
      <c r="E931" s="405">
        <v>20</v>
      </c>
      <c r="F931" s="406">
        <v>1.5</v>
      </c>
      <c r="G931" s="412">
        <f>IF(E931&lt;=30,(0.6*E931+1.25)*F931,((0.6*30+1.25)+0.5*(E931-30))*F931)</f>
        <v>19.875</v>
      </c>
      <c r="H931" s="465">
        <v>63.64</v>
      </c>
      <c r="I931" s="465">
        <f>IF(ISBLANK(H931),"",SUM(G931:H931))</f>
        <v>83.515000000000001</v>
      </c>
      <c r="J931" s="407">
        <f t="shared" si="250"/>
        <v>105.9</v>
      </c>
      <c r="K931" s="408" t="s">
        <v>16</v>
      </c>
      <c r="L931" s="152">
        <v>0</v>
      </c>
      <c r="M931" s="152"/>
      <c r="N931" s="402">
        <f t="shared" si="251"/>
        <v>0</v>
      </c>
      <c r="O931" s="402">
        <f t="shared" si="252"/>
        <v>0</v>
      </c>
      <c r="P931" s="403"/>
      <c r="Q931" s="152">
        <f t="shared" si="257"/>
        <v>0</v>
      </c>
      <c r="R931" s="152">
        <f t="shared" si="257"/>
        <v>0</v>
      </c>
      <c r="S931" s="402">
        <f t="shared" si="254"/>
        <v>0</v>
      </c>
      <c r="T931" s="404">
        <f t="shared" si="255"/>
        <v>0</v>
      </c>
      <c r="U931" s="403"/>
      <c r="W931" s="43" t="str">
        <f t="shared" si="247"/>
        <v/>
      </c>
      <c r="X931" s="43" t="str">
        <f t="shared" si="212"/>
        <v/>
      </c>
      <c r="Y931" s="43" t="str">
        <f t="shared" si="248"/>
        <v/>
      </c>
    </row>
    <row r="932" spans="1:25" ht="13.5" thickBot="1">
      <c r="A932" s="155">
        <v>603900</v>
      </c>
      <c r="B932" s="156" t="s">
        <v>242</v>
      </c>
      <c r="C932" s="347" t="s">
        <v>452</v>
      </c>
      <c r="D932" s="351"/>
      <c r="E932" s="405">
        <v>49</v>
      </c>
      <c r="F932" s="406">
        <v>1.5</v>
      </c>
      <c r="G932" s="412">
        <f>IF(E932&lt;=30,(0.6*E932+1.25)*F932,((0.6*30+1.25)+0.5*(E932-30))*F932)</f>
        <v>43.125</v>
      </c>
      <c r="H932" s="465">
        <v>92.77</v>
      </c>
      <c r="I932" s="465">
        <f>IF(ISBLANK(H932),"",SUM(G932:H932))*0.9</f>
        <v>122.30549999999998</v>
      </c>
      <c r="J932" s="407">
        <f t="shared" si="250"/>
        <v>155.08000000000001</v>
      </c>
      <c r="K932" s="408" t="s">
        <v>16</v>
      </c>
      <c r="L932" s="471"/>
      <c r="M932" s="152"/>
      <c r="N932" s="402">
        <f t="shared" si="251"/>
        <v>0</v>
      </c>
      <c r="O932" s="402">
        <f t="shared" si="252"/>
        <v>0</v>
      </c>
      <c r="P932" s="403"/>
      <c r="Q932" s="152">
        <f t="shared" si="257"/>
        <v>0</v>
      </c>
      <c r="R932" s="152">
        <f>M932</f>
        <v>0</v>
      </c>
      <c r="S932" s="402">
        <f t="shared" si="254"/>
        <v>0</v>
      </c>
      <c r="T932" s="404">
        <f t="shared" si="255"/>
        <v>0</v>
      </c>
      <c r="U932" s="403"/>
      <c r="V932" s="160" t="s">
        <v>200</v>
      </c>
      <c r="W932" s="43" t="str">
        <f t="shared" si="247"/>
        <v>x</v>
      </c>
      <c r="X932" s="43" t="str">
        <f t="shared" si="212"/>
        <v>x</v>
      </c>
      <c r="Y932" s="43" t="str">
        <f t="shared" si="248"/>
        <v>x</v>
      </c>
    </row>
    <row r="933" spans="1:25" ht="13.5" hidden="1" thickBot="1">
      <c r="A933" s="155">
        <v>605000</v>
      </c>
      <c r="B933" s="156" t="s">
        <v>242</v>
      </c>
      <c r="C933" s="411" t="s">
        <v>975</v>
      </c>
      <c r="D933" s="351"/>
      <c r="E933" s="405"/>
      <c r="F933" s="406"/>
      <c r="G933" s="158">
        <f>SUM(G934:G936)</f>
        <v>147.12950000000001</v>
      </c>
      <c r="H933" s="465">
        <v>294.37</v>
      </c>
      <c r="I933" s="465">
        <f t="shared" ref="I933:I936" si="259">IF(ISBLANK(H933),"",SUM(G933:H933))</f>
        <v>441.49950000000001</v>
      </c>
      <c r="J933" s="407">
        <f t="shared" si="250"/>
        <v>559.82000000000005</v>
      </c>
      <c r="K933" s="408" t="s">
        <v>16</v>
      </c>
      <c r="L933" s="152">
        <v>0</v>
      </c>
      <c r="M933" s="152"/>
      <c r="N933" s="402">
        <f t="shared" si="251"/>
        <v>0</v>
      </c>
      <c r="O933" s="402">
        <f t="shared" si="252"/>
        <v>0</v>
      </c>
      <c r="P933" s="403"/>
      <c r="Q933" s="152">
        <f t="shared" si="257"/>
        <v>0</v>
      </c>
      <c r="R933" s="152">
        <f t="shared" si="257"/>
        <v>0</v>
      </c>
      <c r="S933" s="402">
        <f t="shared" si="254"/>
        <v>0</v>
      </c>
      <c r="T933" s="404">
        <f t="shared" si="255"/>
        <v>0</v>
      </c>
      <c r="U933" s="403"/>
      <c r="W933" s="43" t="str">
        <f t="shared" si="247"/>
        <v/>
      </c>
      <c r="X933" s="43" t="str">
        <f t="shared" si="212"/>
        <v/>
      </c>
      <c r="Y933" s="43" t="str">
        <f t="shared" si="248"/>
        <v/>
      </c>
    </row>
    <row r="934" spans="1:25" ht="13.5" hidden="1" thickBot="1">
      <c r="A934" s="155" t="s">
        <v>183</v>
      </c>
      <c r="B934" s="156"/>
      <c r="C934" s="348" t="s">
        <v>251</v>
      </c>
      <c r="D934" s="351"/>
      <c r="E934" s="405">
        <v>500</v>
      </c>
      <c r="F934" s="406">
        <v>0.18</v>
      </c>
      <c r="G934" s="158">
        <f>IF(E934&lt;=30,(0.42*E934+3.55)*F934,((0.42*30+3.55)+0.35*(E934-30))*F934)</f>
        <v>32.517000000000003</v>
      </c>
      <c r="H934" s="465"/>
      <c r="I934" s="465" t="str">
        <f t="shared" si="259"/>
        <v/>
      </c>
      <c r="J934" s="407">
        <f t="shared" si="250"/>
        <v>0</v>
      </c>
      <c r="K934" s="394" t="s">
        <v>1029</v>
      </c>
      <c r="L934" s="152">
        <v>0</v>
      </c>
      <c r="M934" s="213"/>
      <c r="N934" s="402">
        <f t="shared" si="251"/>
        <v>0</v>
      </c>
      <c r="O934" s="402">
        <f t="shared" si="252"/>
        <v>0</v>
      </c>
      <c r="P934" s="403"/>
      <c r="Q934" s="212"/>
      <c r="R934" s="213"/>
      <c r="S934" s="402">
        <f t="shared" si="254"/>
        <v>0</v>
      </c>
      <c r="T934" s="404">
        <f t="shared" si="255"/>
        <v>0</v>
      </c>
      <c r="U934" s="403"/>
      <c r="V934" s="144" t="str">
        <f>IF(T933&gt;0,"xx",IF(O933&gt;0,"xy",""))</f>
        <v/>
      </c>
      <c r="W934" s="43" t="str">
        <f t="shared" si="247"/>
        <v/>
      </c>
      <c r="X934" s="43" t="str">
        <f t="shared" si="212"/>
        <v/>
      </c>
      <c r="Y934" s="43" t="str">
        <f t="shared" si="248"/>
        <v/>
      </c>
    </row>
    <row r="935" spans="1:25" ht="13.5" hidden="1" thickBot="1">
      <c r="A935" s="155" t="s">
        <v>183</v>
      </c>
      <c r="B935" s="156"/>
      <c r="C935" s="348" t="s">
        <v>314</v>
      </c>
      <c r="D935" s="351"/>
      <c r="E935" s="405">
        <v>180</v>
      </c>
      <c r="F935" s="406">
        <v>1.06</v>
      </c>
      <c r="G935" s="412">
        <f>IF(E935&lt;=30,(0.6*E935+1.25)*F935,((0.6*30+1.25)+0.5*(E935-30))*F935)</f>
        <v>99.905000000000001</v>
      </c>
      <c r="H935" s="465"/>
      <c r="I935" s="465" t="str">
        <f t="shared" si="259"/>
        <v/>
      </c>
      <c r="J935" s="407">
        <f t="shared" si="250"/>
        <v>0</v>
      </c>
      <c r="K935" s="394" t="s">
        <v>1029</v>
      </c>
      <c r="L935" s="152">
        <v>0</v>
      </c>
      <c r="M935" s="213"/>
      <c r="N935" s="402">
        <f t="shared" si="251"/>
        <v>0</v>
      </c>
      <c r="O935" s="402">
        <f t="shared" si="252"/>
        <v>0</v>
      </c>
      <c r="P935" s="403"/>
      <c r="Q935" s="212"/>
      <c r="R935" s="213"/>
      <c r="S935" s="402">
        <f t="shared" si="254"/>
        <v>0</v>
      </c>
      <c r="T935" s="404">
        <f t="shared" si="255"/>
        <v>0</v>
      </c>
      <c r="U935" s="403"/>
      <c r="V935" s="144" t="str">
        <f>IF(T933&gt;0,"xx",IF(O933&gt;0,"xy",""))</f>
        <v/>
      </c>
      <c r="W935" s="43" t="str">
        <f t="shared" si="247"/>
        <v/>
      </c>
      <c r="X935" s="43" t="str">
        <f t="shared" si="212"/>
        <v/>
      </c>
      <c r="Y935" s="43" t="str">
        <f t="shared" si="248"/>
        <v/>
      </c>
    </row>
    <row r="936" spans="1:25" ht="13.5" hidden="1" thickBot="1">
      <c r="A936" s="155" t="s">
        <v>183</v>
      </c>
      <c r="B936" s="156"/>
      <c r="C936" s="348" t="s">
        <v>323</v>
      </c>
      <c r="D936" s="351"/>
      <c r="E936" s="405">
        <v>20</v>
      </c>
      <c r="F936" s="406">
        <v>1.1100000000000001</v>
      </c>
      <c r="G936" s="412">
        <f>IF(E936&lt;=30,(0.6*E936+1.25)*F936,((0.6*30+1.25)+0.5*(E936-30))*F936)</f>
        <v>14.707500000000001</v>
      </c>
      <c r="H936" s="465"/>
      <c r="I936" s="465" t="str">
        <f t="shared" si="259"/>
        <v/>
      </c>
      <c r="J936" s="407">
        <f t="shared" si="250"/>
        <v>0</v>
      </c>
      <c r="K936" s="394" t="s">
        <v>1029</v>
      </c>
      <c r="L936" s="152">
        <v>0</v>
      </c>
      <c r="M936" s="213"/>
      <c r="N936" s="402">
        <f t="shared" si="251"/>
        <v>0</v>
      </c>
      <c r="O936" s="402">
        <f t="shared" si="252"/>
        <v>0</v>
      </c>
      <c r="P936" s="403"/>
      <c r="Q936" s="212"/>
      <c r="R936" s="213"/>
      <c r="S936" s="402">
        <f t="shared" si="254"/>
        <v>0</v>
      </c>
      <c r="T936" s="404">
        <f t="shared" si="255"/>
        <v>0</v>
      </c>
      <c r="U936" s="403"/>
      <c r="V936" s="144" t="str">
        <f>IF(T933&gt;0,"xx",IF(O933&gt;0,"xy",""))</f>
        <v/>
      </c>
      <c r="W936" s="43" t="str">
        <f t="shared" si="247"/>
        <v/>
      </c>
      <c r="X936" s="43" t="str">
        <f t="shared" si="212"/>
        <v/>
      </c>
      <c r="Y936" s="43" t="str">
        <f t="shared" si="248"/>
        <v/>
      </c>
    </row>
    <row r="937" spans="1:25" ht="13.5" hidden="1" thickBot="1">
      <c r="A937" s="155">
        <v>600310</v>
      </c>
      <c r="B937" s="156" t="s">
        <v>242</v>
      </c>
      <c r="C937" s="343" t="s">
        <v>610</v>
      </c>
      <c r="D937" s="372"/>
      <c r="E937" s="182"/>
      <c r="F937" s="161"/>
      <c r="G937" s="162"/>
      <c r="H937" s="465">
        <v>94.26</v>
      </c>
      <c r="I937" s="465">
        <f t="shared" ref="I937:I948" si="260">IF(ISBLANK(H937),"",SUM(G937:H937))</f>
        <v>94.26</v>
      </c>
      <c r="J937" s="407">
        <f t="shared" si="250"/>
        <v>119.52</v>
      </c>
      <c r="K937" s="408" t="s">
        <v>23</v>
      </c>
      <c r="L937" s="152">
        <v>0</v>
      </c>
      <c r="M937" s="152"/>
      <c r="N937" s="402">
        <f t="shared" si="251"/>
        <v>0</v>
      </c>
      <c r="O937" s="402">
        <f t="shared" si="252"/>
        <v>0</v>
      </c>
      <c r="P937" s="403"/>
      <c r="Q937" s="152">
        <f t="shared" ref="Q937:R948" si="261">L937</f>
        <v>0</v>
      </c>
      <c r="R937" s="152">
        <f t="shared" si="261"/>
        <v>0</v>
      </c>
      <c r="S937" s="402">
        <f t="shared" si="254"/>
        <v>0</v>
      </c>
      <c r="T937" s="404">
        <f t="shared" si="255"/>
        <v>0</v>
      </c>
      <c r="U937" s="403"/>
      <c r="W937" s="43" t="str">
        <f t="shared" si="247"/>
        <v/>
      </c>
      <c r="X937" s="43" t="str">
        <f t="shared" si="212"/>
        <v/>
      </c>
      <c r="Y937" s="43" t="str">
        <f t="shared" si="248"/>
        <v/>
      </c>
    </row>
    <row r="938" spans="1:25" ht="13.5" hidden="1" thickBot="1">
      <c r="A938" s="155">
        <v>633000</v>
      </c>
      <c r="B938" s="156" t="s">
        <v>242</v>
      </c>
      <c r="C938" s="343" t="s">
        <v>1073</v>
      </c>
      <c r="D938" s="448"/>
      <c r="E938" s="182"/>
      <c r="F938" s="161"/>
      <c r="G938" s="162"/>
      <c r="H938" s="465">
        <v>59.43</v>
      </c>
      <c r="I938" s="465">
        <f t="shared" ref="I938:I940" si="262">IF(ISBLANK(H938),"",SUM(G938:H938))</f>
        <v>59.43</v>
      </c>
      <c r="J938" s="407">
        <f t="shared" ref="J938:J940" si="263">IF(ISBLANK(H938),0,ROUND(I938*(1+$E$9)*(1+$E$10*D938),2))</f>
        <v>69.41</v>
      </c>
      <c r="K938" s="408" t="s">
        <v>20</v>
      </c>
      <c r="L938" s="152">
        <v>0</v>
      </c>
      <c r="M938" s="152"/>
      <c r="N938" s="402">
        <f t="shared" si="251"/>
        <v>0</v>
      </c>
      <c r="O938" s="402">
        <f t="shared" si="252"/>
        <v>0</v>
      </c>
      <c r="P938" s="403"/>
      <c r="Q938" s="152">
        <f t="shared" si="261"/>
        <v>0</v>
      </c>
      <c r="R938" s="152">
        <f t="shared" si="261"/>
        <v>0</v>
      </c>
      <c r="S938" s="402">
        <f t="shared" si="254"/>
        <v>0</v>
      </c>
      <c r="T938" s="404">
        <f t="shared" si="255"/>
        <v>0</v>
      </c>
      <c r="U938" s="403"/>
      <c r="W938" s="43" t="str">
        <f t="shared" si="247"/>
        <v/>
      </c>
      <c r="X938" s="43" t="str">
        <f t="shared" si="212"/>
        <v/>
      </c>
      <c r="Y938" s="43" t="str">
        <f t="shared" si="248"/>
        <v/>
      </c>
    </row>
    <row r="939" spans="1:25" ht="13.5" hidden="1" thickBot="1">
      <c r="A939" s="155">
        <v>633100</v>
      </c>
      <c r="B939" s="156" t="s">
        <v>242</v>
      </c>
      <c r="C939" s="343" t="s">
        <v>1074</v>
      </c>
      <c r="D939" s="448"/>
      <c r="E939" s="182"/>
      <c r="F939" s="161"/>
      <c r="G939" s="162"/>
      <c r="H939" s="465">
        <v>118.86</v>
      </c>
      <c r="I939" s="465">
        <f t="shared" si="262"/>
        <v>118.86</v>
      </c>
      <c r="J939" s="407">
        <f t="shared" si="263"/>
        <v>138.83000000000001</v>
      </c>
      <c r="K939" s="408" t="s">
        <v>20</v>
      </c>
      <c r="L939" s="152">
        <v>0</v>
      </c>
      <c r="M939" s="152"/>
      <c r="N939" s="402">
        <f t="shared" si="251"/>
        <v>0</v>
      </c>
      <c r="O939" s="402">
        <f t="shared" si="252"/>
        <v>0</v>
      </c>
      <c r="P939" s="403"/>
      <c r="Q939" s="152">
        <f t="shared" si="261"/>
        <v>0</v>
      </c>
      <c r="R939" s="152">
        <f t="shared" si="261"/>
        <v>0</v>
      </c>
      <c r="S939" s="402">
        <f t="shared" si="254"/>
        <v>0</v>
      </c>
      <c r="T939" s="404">
        <f t="shared" si="255"/>
        <v>0</v>
      </c>
      <c r="U939" s="403"/>
      <c r="W939" s="43" t="str">
        <f t="shared" si="247"/>
        <v/>
      </c>
      <c r="X939" s="43" t="str">
        <f t="shared" si="212"/>
        <v/>
      </c>
      <c r="Y939" s="43" t="str">
        <f t="shared" si="248"/>
        <v/>
      </c>
    </row>
    <row r="940" spans="1:25" ht="13.5" hidden="1" thickBot="1">
      <c r="A940" s="155">
        <v>633200</v>
      </c>
      <c r="B940" s="156" t="s">
        <v>242</v>
      </c>
      <c r="C940" s="343" t="s">
        <v>1075</v>
      </c>
      <c r="D940" s="448"/>
      <c r="E940" s="182"/>
      <c r="F940" s="161"/>
      <c r="G940" s="162"/>
      <c r="H940" s="465">
        <v>178.29</v>
      </c>
      <c r="I940" s="465">
        <f t="shared" si="262"/>
        <v>178.29</v>
      </c>
      <c r="J940" s="407">
        <f t="shared" si="263"/>
        <v>208.24</v>
      </c>
      <c r="K940" s="408" t="s">
        <v>20</v>
      </c>
      <c r="L940" s="152">
        <v>0</v>
      </c>
      <c r="M940" s="152"/>
      <c r="N940" s="402">
        <f t="shared" si="251"/>
        <v>0</v>
      </c>
      <c r="O940" s="402">
        <f t="shared" si="252"/>
        <v>0</v>
      </c>
      <c r="P940" s="403"/>
      <c r="Q940" s="152">
        <f t="shared" si="261"/>
        <v>0</v>
      </c>
      <c r="R940" s="152">
        <f t="shared" si="261"/>
        <v>0</v>
      </c>
      <c r="S940" s="402">
        <f t="shared" si="254"/>
        <v>0</v>
      </c>
      <c r="T940" s="404">
        <f t="shared" si="255"/>
        <v>0</v>
      </c>
      <c r="U940" s="403"/>
      <c r="W940" s="43" t="str">
        <f t="shared" si="247"/>
        <v/>
      </c>
      <c r="X940" s="43" t="str">
        <f t="shared" si="212"/>
        <v/>
      </c>
      <c r="Y940" s="43" t="str">
        <f t="shared" si="248"/>
        <v/>
      </c>
    </row>
    <row r="941" spans="1:25" ht="13.5" hidden="1" thickBot="1">
      <c r="A941" s="155">
        <v>800900</v>
      </c>
      <c r="B941" s="156" t="s">
        <v>242</v>
      </c>
      <c r="C941" s="343" t="s">
        <v>611</v>
      </c>
      <c r="D941" s="372"/>
      <c r="E941" s="182"/>
      <c r="F941" s="161"/>
      <c r="G941" s="162"/>
      <c r="H941" s="465">
        <v>8.06</v>
      </c>
      <c r="I941" s="465">
        <f t="shared" si="260"/>
        <v>8.06</v>
      </c>
      <c r="J941" s="407">
        <f t="shared" si="250"/>
        <v>10.220000000000001</v>
      </c>
      <c r="K941" s="408" t="s">
        <v>18</v>
      </c>
      <c r="L941" s="152">
        <v>0</v>
      </c>
      <c r="M941" s="152"/>
      <c r="N941" s="402">
        <f t="shared" si="251"/>
        <v>0</v>
      </c>
      <c r="O941" s="402">
        <f t="shared" si="252"/>
        <v>0</v>
      </c>
      <c r="P941" s="403"/>
      <c r="Q941" s="152">
        <f t="shared" si="261"/>
        <v>0</v>
      </c>
      <c r="R941" s="152">
        <f t="shared" si="261"/>
        <v>0</v>
      </c>
      <c r="S941" s="402">
        <f t="shared" si="254"/>
        <v>0</v>
      </c>
      <c r="T941" s="404">
        <f t="shared" si="255"/>
        <v>0</v>
      </c>
      <c r="U941" s="403"/>
      <c r="W941" s="43" t="str">
        <f t="shared" si="247"/>
        <v/>
      </c>
      <c r="X941" s="43" t="str">
        <f t="shared" si="212"/>
        <v/>
      </c>
      <c r="Y941" s="43" t="str">
        <f t="shared" si="248"/>
        <v/>
      </c>
    </row>
    <row r="942" spans="1:25" ht="13.5" hidden="1" thickBot="1">
      <c r="A942" s="155">
        <v>801100</v>
      </c>
      <c r="B942" s="156" t="s">
        <v>242</v>
      </c>
      <c r="C942" s="343" t="s">
        <v>393</v>
      </c>
      <c r="D942" s="372"/>
      <c r="E942" s="182"/>
      <c r="F942" s="161"/>
      <c r="G942" s="162"/>
      <c r="H942" s="465">
        <v>11.350000000000001</v>
      </c>
      <c r="I942" s="465">
        <f t="shared" si="260"/>
        <v>11.350000000000001</v>
      </c>
      <c r="J942" s="407">
        <f t="shared" si="250"/>
        <v>14.39</v>
      </c>
      <c r="K942" s="408" t="s">
        <v>18</v>
      </c>
      <c r="L942" s="152">
        <v>0</v>
      </c>
      <c r="M942" s="204"/>
      <c r="N942" s="402">
        <f t="shared" si="251"/>
        <v>0</v>
      </c>
      <c r="O942" s="404">
        <f t="shared" si="252"/>
        <v>0</v>
      </c>
      <c r="P942" s="403"/>
      <c r="Q942" s="205">
        <f t="shared" si="261"/>
        <v>0</v>
      </c>
      <c r="R942" s="204">
        <f t="shared" si="261"/>
        <v>0</v>
      </c>
      <c r="S942" s="402">
        <f t="shared" si="254"/>
        <v>0</v>
      </c>
      <c r="T942" s="404">
        <f t="shared" si="255"/>
        <v>0</v>
      </c>
      <c r="U942" s="403"/>
      <c r="W942" s="43" t="str">
        <f t="shared" si="247"/>
        <v/>
      </c>
      <c r="X942" s="43" t="str">
        <f t="shared" si="212"/>
        <v/>
      </c>
      <c r="Y942" s="43" t="str">
        <f t="shared" si="248"/>
        <v/>
      </c>
    </row>
    <row r="943" spans="1:25" ht="13.5" hidden="1" thickBot="1">
      <c r="A943" s="155">
        <v>600510</v>
      </c>
      <c r="B943" s="156" t="s">
        <v>242</v>
      </c>
      <c r="C943" s="343" t="s">
        <v>612</v>
      </c>
      <c r="D943" s="372"/>
      <c r="E943" s="182"/>
      <c r="F943" s="161"/>
      <c r="G943" s="162"/>
      <c r="H943" s="465">
        <v>1.55</v>
      </c>
      <c r="I943" s="465">
        <f t="shared" si="260"/>
        <v>1.55</v>
      </c>
      <c r="J943" s="407">
        <f t="shared" si="250"/>
        <v>1.97</v>
      </c>
      <c r="K943" s="408" t="s">
        <v>20</v>
      </c>
      <c r="L943" s="152">
        <v>0</v>
      </c>
      <c r="M943" s="204"/>
      <c r="N943" s="402">
        <f t="shared" si="251"/>
        <v>0</v>
      </c>
      <c r="O943" s="404">
        <f t="shared" si="252"/>
        <v>0</v>
      </c>
      <c r="P943" s="403"/>
      <c r="Q943" s="205">
        <f t="shared" si="261"/>
        <v>0</v>
      </c>
      <c r="R943" s="204">
        <f t="shared" si="261"/>
        <v>0</v>
      </c>
      <c r="S943" s="402">
        <f t="shared" si="254"/>
        <v>0</v>
      </c>
      <c r="T943" s="404">
        <f t="shared" si="255"/>
        <v>0</v>
      </c>
      <c r="U943" s="403"/>
      <c r="W943" s="43" t="str">
        <f t="shared" si="247"/>
        <v/>
      </c>
      <c r="X943" s="43" t="str">
        <f t="shared" si="212"/>
        <v/>
      </c>
      <c r="Y943" s="43" t="str">
        <f t="shared" si="248"/>
        <v/>
      </c>
    </row>
    <row r="944" spans="1:25" ht="13.5" hidden="1" thickBot="1">
      <c r="A944" s="409">
        <v>521450</v>
      </c>
      <c r="B944" s="183" t="s">
        <v>242</v>
      </c>
      <c r="C944" s="411" t="s">
        <v>287</v>
      </c>
      <c r="D944" s="351"/>
      <c r="E944" s="405">
        <v>20</v>
      </c>
      <c r="F944" s="161">
        <v>0.3</v>
      </c>
      <c r="G944" s="412">
        <f>IF(E944&lt;=30,(0.6*E944+1.25)*F944,((0.6*30+1.25)+0.5*(E944-30))*F944)</f>
        <v>3.9749999999999996</v>
      </c>
      <c r="H944" s="465">
        <v>19.929999999999996</v>
      </c>
      <c r="I944" s="465">
        <f>IF(ISBLANK(H944),"",SUM(G944:H944))</f>
        <v>23.904999999999994</v>
      </c>
      <c r="J944" s="407">
        <f t="shared" si="250"/>
        <v>30.31</v>
      </c>
      <c r="K944" s="408" t="s">
        <v>18</v>
      </c>
      <c r="L944" s="152">
        <v>0</v>
      </c>
      <c r="M944" s="152"/>
      <c r="N944" s="402">
        <f t="shared" si="251"/>
        <v>0</v>
      </c>
      <c r="O944" s="402">
        <f t="shared" si="252"/>
        <v>0</v>
      </c>
      <c r="P944" s="403"/>
      <c r="Q944" s="152">
        <f t="shared" si="261"/>
        <v>0</v>
      </c>
      <c r="R944" s="152">
        <f t="shared" si="261"/>
        <v>0</v>
      </c>
      <c r="S944" s="402">
        <f t="shared" si="254"/>
        <v>0</v>
      </c>
      <c r="T944" s="404">
        <f t="shared" si="255"/>
        <v>0</v>
      </c>
      <c r="U944" s="403"/>
      <c r="W944" s="43" t="str">
        <f t="shared" si="247"/>
        <v/>
      </c>
      <c r="X944" s="43" t="str">
        <f t="shared" si="212"/>
        <v/>
      </c>
      <c r="Y944" s="43" t="str">
        <f t="shared" si="248"/>
        <v/>
      </c>
    </row>
    <row r="945" spans="1:25" ht="13.5" hidden="1" thickBot="1">
      <c r="A945" s="155">
        <v>511300</v>
      </c>
      <c r="B945" s="156" t="s">
        <v>242</v>
      </c>
      <c r="C945" s="411" t="s">
        <v>237</v>
      </c>
      <c r="D945" s="351"/>
      <c r="E945" s="405">
        <v>0</v>
      </c>
      <c r="F945" s="406">
        <v>0</v>
      </c>
      <c r="G945" s="158">
        <v>0</v>
      </c>
      <c r="H945" s="465">
        <v>0.14000000000000001</v>
      </c>
      <c r="I945" s="465">
        <f t="shared" si="260"/>
        <v>0.14000000000000001</v>
      </c>
      <c r="J945" s="407">
        <f>IF(ISBLANK(H945),0,ROUND(I945*(1+$E$10)*(1+$E$11*D945),2))</f>
        <v>0.18</v>
      </c>
      <c r="K945" s="408" t="s">
        <v>18</v>
      </c>
      <c r="L945" s="152">
        <v>0</v>
      </c>
      <c r="M945" s="152"/>
      <c r="N945" s="402">
        <f>IF(ISBLANK(L945),0,ROUND(J945*L945,2))</f>
        <v>0</v>
      </c>
      <c r="O945" s="402">
        <f>IF(ISBLANK(M945),0,ROUND(L945*M945,2))</f>
        <v>0</v>
      </c>
      <c r="P945" s="403"/>
      <c r="Q945" s="152">
        <f t="shared" si="261"/>
        <v>0</v>
      </c>
      <c r="R945" s="152">
        <f t="shared" si="261"/>
        <v>0</v>
      </c>
      <c r="S945" s="402">
        <f>IF(ISBLANK(Q945),0,ROUND(J945*Q945,2))</f>
        <v>0</v>
      </c>
      <c r="T945" s="404">
        <f>IF(ISBLANK(Q945),0,ROUND(Q945*R945,2))</f>
        <v>0</v>
      </c>
      <c r="U945" s="403"/>
      <c r="W945" s="43" t="str">
        <f t="shared" si="247"/>
        <v/>
      </c>
      <c r="X945" s="43" t="str">
        <f>IF(V945="X","x",IF(V945="y","x",IF(V945="xx","x",IF(T945&gt;0,"x",""))))</f>
        <v/>
      </c>
      <c r="Y945" s="43" t="str">
        <f>IF(V945="X","x",IF(T945&gt;0,"x",""))</f>
        <v/>
      </c>
    </row>
    <row r="946" spans="1:25" ht="13.5" hidden="1" thickBot="1">
      <c r="A946" s="155">
        <v>840000</v>
      </c>
      <c r="B946" s="156" t="s">
        <v>242</v>
      </c>
      <c r="C946" s="411" t="s">
        <v>372</v>
      </c>
      <c r="D946" s="351"/>
      <c r="E946" s="405"/>
      <c r="F946" s="406"/>
      <c r="G946" s="158">
        <v>0</v>
      </c>
      <c r="H946" s="465">
        <v>24.85</v>
      </c>
      <c r="I946" s="465">
        <f t="shared" si="260"/>
        <v>24.85</v>
      </c>
      <c r="J946" s="407">
        <f>IF(ISBLANK(H946),0,ROUND(I946*(1+$E$10)*(1+$E$11*D946),2))</f>
        <v>31.51</v>
      </c>
      <c r="K946" s="408" t="s">
        <v>20</v>
      </c>
      <c r="L946" s="152">
        <v>0</v>
      </c>
      <c r="M946" s="152"/>
      <c r="N946" s="402">
        <f>IF(ISBLANK(L946),0,ROUND(J946*L946,2))</f>
        <v>0</v>
      </c>
      <c r="O946" s="402">
        <f>IF(ISBLANK(M946),0,ROUND(L946*M946,2))</f>
        <v>0</v>
      </c>
      <c r="P946" s="403"/>
      <c r="Q946" s="152">
        <f t="shared" si="261"/>
        <v>0</v>
      </c>
      <c r="R946" s="152">
        <f t="shared" si="261"/>
        <v>0</v>
      </c>
      <c r="S946" s="402">
        <f>IF(ISBLANK(Q946),0,ROUND(J946*Q946,2))</f>
        <v>0</v>
      </c>
      <c r="T946" s="404">
        <f>IF(ISBLANK(Q946),0,ROUND(Q946*R946,2))</f>
        <v>0</v>
      </c>
      <c r="U946" s="403"/>
      <c r="W946" s="43" t="str">
        <f t="shared" si="247"/>
        <v/>
      </c>
      <c r="X946" s="43" t="str">
        <f>IF(V946="X","x",IF(V946="y","x",IF(V946="xx","x",IF(T946&gt;0,"x",""))))</f>
        <v/>
      </c>
      <c r="Y946" s="43" t="str">
        <f>IF(V946="X","x",IF(T946&gt;0,"x",""))</f>
        <v/>
      </c>
    </row>
    <row r="947" spans="1:25" ht="13.5" hidden="1" thickBot="1">
      <c r="A947" s="155" t="s">
        <v>21</v>
      </c>
      <c r="B947" s="156" t="s">
        <v>242</v>
      </c>
      <c r="C947" s="411" t="s">
        <v>629</v>
      </c>
      <c r="D947" s="351"/>
      <c r="E947" s="405"/>
      <c r="F947" s="161"/>
      <c r="G947" s="158"/>
      <c r="H947" s="465">
        <v>5.7734138972809674</v>
      </c>
      <c r="I947" s="465">
        <f t="shared" si="260"/>
        <v>5.7734138972809674</v>
      </c>
      <c r="J947" s="407">
        <f>IF(ISBLANK(H947),0,ROUND(I947*(1+$E$10)*(1+$E$11*D947),2))</f>
        <v>7.32</v>
      </c>
      <c r="K947" s="408" t="s">
        <v>18</v>
      </c>
      <c r="L947" s="152">
        <v>0</v>
      </c>
      <c r="M947" s="152"/>
      <c r="N947" s="402">
        <f>IF(ISBLANK(L947),0,ROUND(J947*L947,2))</f>
        <v>0</v>
      </c>
      <c r="O947" s="402">
        <f>IF(ISBLANK(M947),0,ROUND(L947*M947,2))</f>
        <v>0</v>
      </c>
      <c r="P947" s="403"/>
      <c r="Q947" s="152">
        <f t="shared" si="261"/>
        <v>0</v>
      </c>
      <c r="R947" s="152">
        <f t="shared" si="261"/>
        <v>0</v>
      </c>
      <c r="S947" s="402">
        <f>IF(ISBLANK(Q947),0,ROUND(J947*Q947,2))</f>
        <v>0</v>
      </c>
      <c r="T947" s="404">
        <f>IF(ISBLANK(Q947),0,ROUND(Q947*R947,2))</f>
        <v>0</v>
      </c>
      <c r="U947" s="403"/>
      <c r="W947" s="43" t="str">
        <f t="shared" si="247"/>
        <v/>
      </c>
      <c r="X947" s="43" t="str">
        <f>IF(V947="X","x",IF(V947="y","x",IF(V947="xx","x",IF(T947&gt;0,"x",""))))</f>
        <v/>
      </c>
      <c r="Y947" s="43" t="str">
        <f>IF(V947="X","x",IF(T947&gt;0,"x",""))</f>
        <v/>
      </c>
    </row>
    <row r="948" spans="1:25" ht="13.5" hidden="1" thickBot="1">
      <c r="A948" s="155" t="s">
        <v>21</v>
      </c>
      <c r="B948" s="156" t="s">
        <v>242</v>
      </c>
      <c r="C948" s="411" t="s">
        <v>289</v>
      </c>
      <c r="D948" s="351"/>
      <c r="E948" s="405"/>
      <c r="F948" s="161"/>
      <c r="G948" s="158"/>
      <c r="H948" s="465">
        <v>10.192</v>
      </c>
      <c r="I948" s="465">
        <f t="shared" si="260"/>
        <v>10.192</v>
      </c>
      <c r="J948" s="407">
        <f>IF(ISBLANK(H948),0,ROUND(I948*(1+$E$10)*(1+$E$11*D948),2))</f>
        <v>12.92</v>
      </c>
      <c r="K948" s="408" t="s">
        <v>18</v>
      </c>
      <c r="L948" s="152">
        <v>0</v>
      </c>
      <c r="M948" s="152"/>
      <c r="N948" s="402">
        <f>IF(ISBLANK(L948),0,ROUND(J948*L948,2))</f>
        <v>0</v>
      </c>
      <c r="O948" s="402">
        <f>IF(ISBLANK(M948),0,ROUND(L948*M948,2))</f>
        <v>0</v>
      </c>
      <c r="P948" s="403"/>
      <c r="Q948" s="152">
        <f t="shared" si="261"/>
        <v>0</v>
      </c>
      <c r="R948" s="152">
        <f t="shared" si="261"/>
        <v>0</v>
      </c>
      <c r="S948" s="402">
        <f>IF(ISBLANK(Q948),0,ROUND(J948*Q948,2))</f>
        <v>0</v>
      </c>
      <c r="T948" s="404">
        <f>IF(ISBLANK(Q948),0,ROUND(Q948*R948,2))</f>
        <v>0</v>
      </c>
      <c r="U948" s="403"/>
      <c r="W948" s="43" t="str">
        <f t="shared" si="247"/>
        <v/>
      </c>
      <c r="X948" s="43" t="str">
        <f>IF(V948="X","x",IF(V948="y","x",IF(V948="xx","x",IF(T948&gt;0,"x",""))))</f>
        <v/>
      </c>
      <c r="Y948" s="43" t="str">
        <f>IF(V948="X","x",IF(T948&gt;0,"x",""))</f>
        <v/>
      </c>
    </row>
    <row r="949" spans="1:25" ht="13.5" hidden="1" thickBot="1">
      <c r="A949" s="400" t="s">
        <v>217</v>
      </c>
      <c r="B949" s="206"/>
      <c r="C949" s="344" t="s">
        <v>1002</v>
      </c>
      <c r="D949" s="185"/>
      <c r="E949" s="207"/>
      <c r="F949" s="208"/>
      <c r="G949" s="209"/>
      <c r="H949" s="210"/>
      <c r="I949" s="210"/>
      <c r="J949" s="210"/>
      <c r="K949" s="210" t="s">
        <v>1029</v>
      </c>
      <c r="L949" s="152">
        <v>0</v>
      </c>
      <c r="M949" s="210"/>
      <c r="N949" s="210"/>
      <c r="O949" s="211"/>
      <c r="P949" s="403"/>
      <c r="Q949" s="209"/>
      <c r="R949" s="210"/>
      <c r="S949" s="210"/>
      <c r="T949" s="211"/>
      <c r="U949" s="403"/>
      <c r="V949" s="144" t="str">
        <f>IF(OR(SUM(O950:O981)&gt;0,SUM(T950:T981)&gt;0),"y","")</f>
        <v/>
      </c>
      <c r="W949" s="43" t="str">
        <f t="shared" si="247"/>
        <v/>
      </c>
      <c r="X949" s="43" t="str">
        <f t="shared" ref="X949:X1012" si="264">IF(V949="X","x",IF(V949="y","x",IF(V949="xx","x",IF(T949&gt;0,"x",""))))</f>
        <v/>
      </c>
      <c r="Y949" s="43" t="str">
        <f t="shared" ref="Y949:Y1203" si="265">IF(V949="X","x",IF(T949&gt;0,"x",""))</f>
        <v/>
      </c>
    </row>
    <row r="950" spans="1:25" ht="13.5" hidden="1" thickBot="1">
      <c r="A950" s="397" t="s">
        <v>217</v>
      </c>
      <c r="B950" s="165" t="s">
        <v>217</v>
      </c>
      <c r="C950" s="203"/>
      <c r="D950" s="167"/>
      <c r="E950" s="168"/>
      <c r="F950" s="169"/>
      <c r="G950" s="170"/>
      <c r="H950" s="171"/>
      <c r="I950" s="452"/>
      <c r="J950" s="453">
        <f t="shared" ref="J950:J981" si="266">IF(ISBLANK(I950),0,ROUND(I950*(1+$E$10)*(1+$E$11*D950),2))</f>
        <v>0</v>
      </c>
      <c r="K950" s="392" t="s">
        <v>1029</v>
      </c>
      <c r="L950" s="152">
        <v>0</v>
      </c>
      <c r="M950" s="204"/>
      <c r="N950" s="402">
        <f t="shared" ref="N950" si="267">IF(ISBLANK(L950),0,ROUND(J950*L950,2))</f>
        <v>0</v>
      </c>
      <c r="O950" s="404">
        <f t="shared" ref="O950:O981" si="268">IF(ISBLANK(M950),0,ROUND(L950*M950,2))</f>
        <v>0</v>
      </c>
      <c r="P950" s="403"/>
      <c r="Q950" s="205">
        <f t="shared" ref="Q950:R981" si="269">L950</f>
        <v>0</v>
      </c>
      <c r="R950" s="204">
        <f t="shared" si="269"/>
        <v>0</v>
      </c>
      <c r="S950" s="402">
        <f t="shared" ref="S950:S981" si="270">IF(ISBLANK(Q950),0,ROUND(J950*Q950,2))</f>
        <v>0</v>
      </c>
      <c r="T950" s="404">
        <f t="shared" ref="T950:T981" si="271">IF(ISBLANK(Q950),0,ROUND(Q950*R950,2))</f>
        <v>0</v>
      </c>
      <c r="U950" s="403"/>
      <c r="W950" s="43" t="str">
        <f t="shared" si="247"/>
        <v/>
      </c>
      <c r="X950" s="43" t="str">
        <f t="shared" si="264"/>
        <v/>
      </c>
      <c r="Y950" s="43" t="str">
        <f t="shared" si="265"/>
        <v/>
      </c>
    </row>
    <row r="951" spans="1:25" ht="13.5" hidden="1" thickBot="1">
      <c r="A951" s="397" t="s">
        <v>217</v>
      </c>
      <c r="B951" s="165" t="s">
        <v>217</v>
      </c>
      <c r="C951" s="166"/>
      <c r="D951" s="167"/>
      <c r="E951" s="168"/>
      <c r="F951" s="169"/>
      <c r="G951" s="170"/>
      <c r="H951" s="171"/>
      <c r="I951" s="452"/>
      <c r="J951" s="454">
        <f t="shared" si="266"/>
        <v>0</v>
      </c>
      <c r="K951" s="392" t="s">
        <v>1029</v>
      </c>
      <c r="L951" s="152">
        <v>0</v>
      </c>
      <c r="M951" s="152"/>
      <c r="N951" s="402">
        <f>IF(ISBLANK(L951),0,ROUND(J951*L951,2))</f>
        <v>0</v>
      </c>
      <c r="O951" s="402">
        <f t="shared" si="268"/>
        <v>0</v>
      </c>
      <c r="P951" s="403"/>
      <c r="Q951" s="152">
        <f t="shared" si="269"/>
        <v>0</v>
      </c>
      <c r="R951" s="152">
        <f t="shared" si="269"/>
        <v>0</v>
      </c>
      <c r="S951" s="402">
        <f t="shared" si="270"/>
        <v>0</v>
      </c>
      <c r="T951" s="164">
        <f t="shared" si="271"/>
        <v>0</v>
      </c>
      <c r="U951" s="403"/>
      <c r="W951" s="43" t="str">
        <f t="shared" si="247"/>
        <v/>
      </c>
      <c r="X951" s="43" t="str">
        <f t="shared" si="264"/>
        <v/>
      </c>
      <c r="Y951" s="43" t="str">
        <f t="shared" si="265"/>
        <v/>
      </c>
    </row>
    <row r="952" spans="1:25" ht="13.5" hidden="1" thickBot="1">
      <c r="A952" s="397" t="s">
        <v>217</v>
      </c>
      <c r="B952" s="165" t="s">
        <v>217</v>
      </c>
      <c r="C952" s="166"/>
      <c r="D952" s="167"/>
      <c r="E952" s="168"/>
      <c r="F952" s="169"/>
      <c r="G952" s="170"/>
      <c r="H952" s="171"/>
      <c r="I952" s="452"/>
      <c r="J952" s="454">
        <f t="shared" si="266"/>
        <v>0</v>
      </c>
      <c r="K952" s="392" t="s">
        <v>1029</v>
      </c>
      <c r="L952" s="152">
        <v>0</v>
      </c>
      <c r="M952" s="152"/>
      <c r="N952" s="402">
        <f t="shared" ref="N952:N981" si="272">IF(ISBLANK(L952),0,ROUND(J952*L952,2))</f>
        <v>0</v>
      </c>
      <c r="O952" s="402">
        <f t="shared" si="268"/>
        <v>0</v>
      </c>
      <c r="P952" s="403"/>
      <c r="Q952" s="152">
        <f t="shared" si="269"/>
        <v>0</v>
      </c>
      <c r="R952" s="152">
        <f t="shared" si="269"/>
        <v>0</v>
      </c>
      <c r="S952" s="402">
        <f t="shared" si="270"/>
        <v>0</v>
      </c>
      <c r="T952" s="404">
        <f t="shared" si="271"/>
        <v>0</v>
      </c>
      <c r="U952" s="403"/>
      <c r="W952" s="43" t="str">
        <f t="shared" si="247"/>
        <v/>
      </c>
      <c r="X952" s="43" t="str">
        <f t="shared" si="264"/>
        <v/>
      </c>
      <c r="Y952" s="43" t="str">
        <f t="shared" si="265"/>
        <v/>
      </c>
    </row>
    <row r="953" spans="1:25" ht="13.5" hidden="1" thickBot="1">
      <c r="A953" s="397" t="s">
        <v>217</v>
      </c>
      <c r="B953" s="165" t="s">
        <v>217</v>
      </c>
      <c r="C953" s="166"/>
      <c r="D953" s="167"/>
      <c r="E953" s="168"/>
      <c r="F953" s="169"/>
      <c r="G953" s="170"/>
      <c r="H953" s="171"/>
      <c r="I953" s="452"/>
      <c r="J953" s="454">
        <f t="shared" si="266"/>
        <v>0</v>
      </c>
      <c r="K953" s="392" t="s">
        <v>1029</v>
      </c>
      <c r="L953" s="152">
        <v>0</v>
      </c>
      <c r="M953" s="152"/>
      <c r="N953" s="402">
        <f t="shared" si="272"/>
        <v>0</v>
      </c>
      <c r="O953" s="402">
        <f t="shared" si="268"/>
        <v>0</v>
      </c>
      <c r="P953" s="403"/>
      <c r="Q953" s="152">
        <f t="shared" si="269"/>
        <v>0</v>
      </c>
      <c r="R953" s="152">
        <f t="shared" si="269"/>
        <v>0</v>
      </c>
      <c r="S953" s="402">
        <f t="shared" si="270"/>
        <v>0</v>
      </c>
      <c r="T953" s="404">
        <f t="shared" si="271"/>
        <v>0</v>
      </c>
      <c r="U953" s="403"/>
      <c r="W953" s="43" t="str">
        <f t="shared" si="247"/>
        <v/>
      </c>
      <c r="X953" s="43" t="str">
        <f t="shared" si="264"/>
        <v/>
      </c>
      <c r="Y953" s="43" t="str">
        <f t="shared" si="265"/>
        <v/>
      </c>
    </row>
    <row r="954" spans="1:25" ht="13.5" hidden="1" thickBot="1">
      <c r="A954" s="397" t="s">
        <v>217</v>
      </c>
      <c r="B954" s="165" t="s">
        <v>217</v>
      </c>
      <c r="C954" s="166"/>
      <c r="D954" s="167"/>
      <c r="E954" s="168"/>
      <c r="F954" s="169"/>
      <c r="G954" s="170"/>
      <c r="H954" s="171"/>
      <c r="I954" s="452"/>
      <c r="J954" s="454">
        <f t="shared" si="266"/>
        <v>0</v>
      </c>
      <c r="K954" s="392" t="s">
        <v>1029</v>
      </c>
      <c r="L954" s="152">
        <v>0</v>
      </c>
      <c r="M954" s="152"/>
      <c r="N954" s="402">
        <f t="shared" si="272"/>
        <v>0</v>
      </c>
      <c r="O954" s="402">
        <f t="shared" si="268"/>
        <v>0</v>
      </c>
      <c r="P954" s="403"/>
      <c r="Q954" s="152">
        <f t="shared" si="269"/>
        <v>0</v>
      </c>
      <c r="R954" s="152">
        <f t="shared" si="269"/>
        <v>0</v>
      </c>
      <c r="S954" s="402">
        <f t="shared" si="270"/>
        <v>0</v>
      </c>
      <c r="T954" s="404">
        <f t="shared" si="271"/>
        <v>0</v>
      </c>
      <c r="U954" s="403"/>
      <c r="W954" s="43" t="str">
        <f t="shared" si="247"/>
        <v/>
      </c>
      <c r="X954" s="43" t="str">
        <f t="shared" si="264"/>
        <v/>
      </c>
      <c r="Y954" s="43" t="str">
        <f t="shared" si="265"/>
        <v/>
      </c>
    </row>
    <row r="955" spans="1:25" ht="13.5" hidden="1" thickBot="1">
      <c r="A955" s="397" t="s">
        <v>217</v>
      </c>
      <c r="B955" s="165" t="s">
        <v>217</v>
      </c>
      <c r="C955" s="166"/>
      <c r="D955" s="167"/>
      <c r="E955" s="168"/>
      <c r="F955" s="169"/>
      <c r="G955" s="170"/>
      <c r="H955" s="171"/>
      <c r="I955" s="452"/>
      <c r="J955" s="454">
        <f t="shared" si="266"/>
        <v>0</v>
      </c>
      <c r="K955" s="392" t="s">
        <v>1029</v>
      </c>
      <c r="L955" s="152">
        <v>0</v>
      </c>
      <c r="M955" s="152"/>
      <c r="N955" s="402">
        <f t="shared" si="272"/>
        <v>0</v>
      </c>
      <c r="O955" s="402">
        <f t="shared" si="268"/>
        <v>0</v>
      </c>
      <c r="P955" s="403"/>
      <c r="Q955" s="152">
        <f t="shared" si="269"/>
        <v>0</v>
      </c>
      <c r="R955" s="152">
        <f t="shared" si="269"/>
        <v>0</v>
      </c>
      <c r="S955" s="402">
        <f t="shared" si="270"/>
        <v>0</v>
      </c>
      <c r="T955" s="404">
        <f t="shared" si="271"/>
        <v>0</v>
      </c>
      <c r="U955" s="403"/>
      <c r="W955" s="43" t="str">
        <f t="shared" si="247"/>
        <v/>
      </c>
      <c r="X955" s="43" t="str">
        <f t="shared" si="264"/>
        <v/>
      </c>
      <c r="Y955" s="43" t="str">
        <f t="shared" si="265"/>
        <v/>
      </c>
    </row>
    <row r="956" spans="1:25" ht="13.5" hidden="1" thickBot="1">
      <c r="A956" s="397" t="s">
        <v>217</v>
      </c>
      <c r="B956" s="165" t="s">
        <v>217</v>
      </c>
      <c r="C956" s="166"/>
      <c r="D956" s="167"/>
      <c r="E956" s="168"/>
      <c r="F956" s="169"/>
      <c r="G956" s="170"/>
      <c r="H956" s="171"/>
      <c r="I956" s="452"/>
      <c r="J956" s="454">
        <f t="shared" si="266"/>
        <v>0</v>
      </c>
      <c r="K956" s="392" t="s">
        <v>1029</v>
      </c>
      <c r="L956" s="152">
        <v>0</v>
      </c>
      <c r="M956" s="152"/>
      <c r="N956" s="402">
        <f t="shared" si="272"/>
        <v>0</v>
      </c>
      <c r="O956" s="402">
        <f t="shared" si="268"/>
        <v>0</v>
      </c>
      <c r="P956" s="403"/>
      <c r="Q956" s="152">
        <f t="shared" si="269"/>
        <v>0</v>
      </c>
      <c r="R956" s="152">
        <f t="shared" si="269"/>
        <v>0</v>
      </c>
      <c r="S956" s="402">
        <f t="shared" si="270"/>
        <v>0</v>
      </c>
      <c r="T956" s="404">
        <f t="shared" si="271"/>
        <v>0</v>
      </c>
      <c r="U956" s="403"/>
      <c r="W956" s="43" t="str">
        <f t="shared" si="247"/>
        <v/>
      </c>
      <c r="X956" s="43" t="str">
        <f t="shared" si="264"/>
        <v/>
      </c>
      <c r="Y956" s="43" t="str">
        <f t="shared" si="265"/>
        <v/>
      </c>
    </row>
    <row r="957" spans="1:25" ht="13.5" hidden="1" thickBot="1">
      <c r="A957" s="397" t="s">
        <v>217</v>
      </c>
      <c r="B957" s="165" t="s">
        <v>217</v>
      </c>
      <c r="C957" s="166"/>
      <c r="D957" s="167"/>
      <c r="E957" s="168"/>
      <c r="F957" s="169"/>
      <c r="G957" s="170"/>
      <c r="H957" s="171"/>
      <c r="I957" s="452"/>
      <c r="J957" s="454">
        <f t="shared" si="266"/>
        <v>0</v>
      </c>
      <c r="K957" s="392" t="s">
        <v>1029</v>
      </c>
      <c r="L957" s="152">
        <v>0</v>
      </c>
      <c r="M957" s="152"/>
      <c r="N957" s="402">
        <f t="shared" si="272"/>
        <v>0</v>
      </c>
      <c r="O957" s="402">
        <f t="shared" si="268"/>
        <v>0</v>
      </c>
      <c r="P957" s="403"/>
      <c r="Q957" s="152">
        <f t="shared" si="269"/>
        <v>0</v>
      </c>
      <c r="R957" s="152">
        <f t="shared" si="269"/>
        <v>0</v>
      </c>
      <c r="S957" s="402">
        <f t="shared" si="270"/>
        <v>0</v>
      </c>
      <c r="T957" s="404">
        <f t="shared" si="271"/>
        <v>0</v>
      </c>
      <c r="U957" s="403"/>
      <c r="W957" s="43" t="str">
        <f t="shared" si="247"/>
        <v/>
      </c>
      <c r="X957" s="43" t="str">
        <f t="shared" si="264"/>
        <v/>
      </c>
      <c r="Y957" s="43" t="str">
        <f t="shared" si="265"/>
        <v/>
      </c>
    </row>
    <row r="958" spans="1:25" ht="13.5" hidden="1" thickBot="1">
      <c r="A958" s="397" t="s">
        <v>217</v>
      </c>
      <c r="B958" s="165" t="s">
        <v>217</v>
      </c>
      <c r="C958" s="166"/>
      <c r="D958" s="167"/>
      <c r="E958" s="168"/>
      <c r="F958" s="169"/>
      <c r="G958" s="170"/>
      <c r="H958" s="171"/>
      <c r="I958" s="452"/>
      <c r="J958" s="454">
        <f t="shared" si="266"/>
        <v>0</v>
      </c>
      <c r="K958" s="392" t="s">
        <v>1029</v>
      </c>
      <c r="L958" s="152">
        <v>0</v>
      </c>
      <c r="M958" s="152"/>
      <c r="N958" s="402">
        <f t="shared" si="272"/>
        <v>0</v>
      </c>
      <c r="O958" s="402">
        <f t="shared" si="268"/>
        <v>0</v>
      </c>
      <c r="P958" s="403"/>
      <c r="Q958" s="152">
        <f t="shared" si="269"/>
        <v>0</v>
      </c>
      <c r="R958" s="152">
        <f t="shared" si="269"/>
        <v>0</v>
      </c>
      <c r="S958" s="402">
        <f t="shared" si="270"/>
        <v>0</v>
      </c>
      <c r="T958" s="404">
        <f t="shared" si="271"/>
        <v>0</v>
      </c>
      <c r="U958" s="403"/>
      <c r="W958" s="43" t="str">
        <f t="shared" si="247"/>
        <v/>
      </c>
      <c r="X958" s="43" t="str">
        <f t="shared" si="264"/>
        <v/>
      </c>
      <c r="Y958" s="43" t="str">
        <f t="shared" si="265"/>
        <v/>
      </c>
    </row>
    <row r="959" spans="1:25" ht="13.5" hidden="1" thickBot="1">
      <c r="A959" s="397" t="s">
        <v>217</v>
      </c>
      <c r="B959" s="165" t="s">
        <v>217</v>
      </c>
      <c r="C959" s="166"/>
      <c r="D959" s="167"/>
      <c r="E959" s="168"/>
      <c r="F959" s="169"/>
      <c r="G959" s="170"/>
      <c r="H959" s="171"/>
      <c r="I959" s="452"/>
      <c r="J959" s="454">
        <f t="shared" si="266"/>
        <v>0</v>
      </c>
      <c r="K959" s="392" t="s">
        <v>1029</v>
      </c>
      <c r="L959" s="152">
        <v>0</v>
      </c>
      <c r="M959" s="152"/>
      <c r="N959" s="402">
        <f t="shared" si="272"/>
        <v>0</v>
      </c>
      <c r="O959" s="402">
        <f t="shared" si="268"/>
        <v>0</v>
      </c>
      <c r="P959" s="403"/>
      <c r="Q959" s="152">
        <f t="shared" si="269"/>
        <v>0</v>
      </c>
      <c r="R959" s="152">
        <f t="shared" si="269"/>
        <v>0</v>
      </c>
      <c r="S959" s="402">
        <f t="shared" si="270"/>
        <v>0</v>
      </c>
      <c r="T959" s="404">
        <f t="shared" si="271"/>
        <v>0</v>
      </c>
      <c r="U959" s="403"/>
      <c r="W959" s="43" t="str">
        <f t="shared" si="247"/>
        <v/>
      </c>
      <c r="X959" s="43" t="str">
        <f t="shared" si="264"/>
        <v/>
      </c>
      <c r="Y959" s="43" t="str">
        <f t="shared" si="265"/>
        <v/>
      </c>
    </row>
    <row r="960" spans="1:25" ht="13.5" hidden="1" thickBot="1">
      <c r="A960" s="397" t="s">
        <v>217</v>
      </c>
      <c r="B960" s="165" t="s">
        <v>217</v>
      </c>
      <c r="C960" s="166"/>
      <c r="D960" s="167"/>
      <c r="E960" s="168"/>
      <c r="F960" s="169"/>
      <c r="G960" s="170"/>
      <c r="H960" s="171"/>
      <c r="I960" s="452"/>
      <c r="J960" s="454">
        <f t="shared" si="266"/>
        <v>0</v>
      </c>
      <c r="K960" s="392" t="s">
        <v>1029</v>
      </c>
      <c r="L960" s="152">
        <v>0</v>
      </c>
      <c r="M960" s="152"/>
      <c r="N960" s="402">
        <f t="shared" si="272"/>
        <v>0</v>
      </c>
      <c r="O960" s="402">
        <f t="shared" si="268"/>
        <v>0</v>
      </c>
      <c r="P960" s="403"/>
      <c r="Q960" s="152">
        <f t="shared" si="269"/>
        <v>0</v>
      </c>
      <c r="R960" s="152">
        <f t="shared" si="269"/>
        <v>0</v>
      </c>
      <c r="S960" s="402">
        <f t="shared" si="270"/>
        <v>0</v>
      </c>
      <c r="T960" s="404">
        <f t="shared" si="271"/>
        <v>0</v>
      </c>
      <c r="U960" s="403"/>
      <c r="W960" s="43" t="str">
        <f t="shared" si="247"/>
        <v/>
      </c>
      <c r="X960" s="43" t="str">
        <f t="shared" si="264"/>
        <v/>
      </c>
      <c r="Y960" s="43" t="str">
        <f t="shared" si="265"/>
        <v/>
      </c>
    </row>
    <row r="961" spans="1:25" ht="13.5" hidden="1" thickBot="1">
      <c r="A961" s="397" t="s">
        <v>217</v>
      </c>
      <c r="B961" s="165" t="s">
        <v>217</v>
      </c>
      <c r="C961" s="166"/>
      <c r="D961" s="167"/>
      <c r="E961" s="168"/>
      <c r="F961" s="169"/>
      <c r="G961" s="170"/>
      <c r="H961" s="171"/>
      <c r="I961" s="452"/>
      <c r="J961" s="454">
        <f t="shared" si="266"/>
        <v>0</v>
      </c>
      <c r="K961" s="392" t="s">
        <v>1029</v>
      </c>
      <c r="L961" s="152">
        <v>0</v>
      </c>
      <c r="M961" s="152"/>
      <c r="N961" s="402">
        <f t="shared" si="272"/>
        <v>0</v>
      </c>
      <c r="O961" s="402">
        <f t="shared" si="268"/>
        <v>0</v>
      </c>
      <c r="P961" s="403"/>
      <c r="Q961" s="152">
        <f t="shared" si="269"/>
        <v>0</v>
      </c>
      <c r="R961" s="152">
        <f t="shared" si="269"/>
        <v>0</v>
      </c>
      <c r="S961" s="402">
        <f t="shared" si="270"/>
        <v>0</v>
      </c>
      <c r="T961" s="404">
        <f t="shared" si="271"/>
        <v>0</v>
      </c>
      <c r="U961" s="403"/>
      <c r="W961" s="43" t="str">
        <f t="shared" si="247"/>
        <v/>
      </c>
      <c r="X961" s="43" t="str">
        <f t="shared" si="264"/>
        <v/>
      </c>
      <c r="Y961" s="43" t="str">
        <f t="shared" si="265"/>
        <v/>
      </c>
    </row>
    <row r="962" spans="1:25" ht="13.5" hidden="1" thickBot="1">
      <c r="A962" s="397" t="s">
        <v>217</v>
      </c>
      <c r="B962" s="165" t="s">
        <v>217</v>
      </c>
      <c r="C962" s="166"/>
      <c r="D962" s="167"/>
      <c r="E962" s="168"/>
      <c r="F962" s="169"/>
      <c r="G962" s="170"/>
      <c r="H962" s="171"/>
      <c r="I962" s="452"/>
      <c r="J962" s="454">
        <f t="shared" si="266"/>
        <v>0</v>
      </c>
      <c r="K962" s="392" t="s">
        <v>1029</v>
      </c>
      <c r="L962" s="152">
        <v>0</v>
      </c>
      <c r="M962" s="152"/>
      <c r="N962" s="402">
        <f t="shared" si="272"/>
        <v>0</v>
      </c>
      <c r="O962" s="402">
        <f t="shared" si="268"/>
        <v>0</v>
      </c>
      <c r="P962" s="403"/>
      <c r="Q962" s="152">
        <f t="shared" si="269"/>
        <v>0</v>
      </c>
      <c r="R962" s="152">
        <f t="shared" si="269"/>
        <v>0</v>
      </c>
      <c r="S962" s="402">
        <f t="shared" si="270"/>
        <v>0</v>
      </c>
      <c r="T962" s="404">
        <f t="shared" si="271"/>
        <v>0</v>
      </c>
      <c r="U962" s="403"/>
      <c r="W962" s="43" t="str">
        <f t="shared" si="247"/>
        <v/>
      </c>
      <c r="X962" s="43" t="str">
        <f t="shared" si="264"/>
        <v/>
      </c>
      <c r="Y962" s="43" t="str">
        <f t="shared" si="265"/>
        <v/>
      </c>
    </row>
    <row r="963" spans="1:25" ht="13.5" hidden="1" thickBot="1">
      <c r="A963" s="397" t="s">
        <v>217</v>
      </c>
      <c r="B963" s="165" t="s">
        <v>217</v>
      </c>
      <c r="C963" s="166"/>
      <c r="D963" s="167"/>
      <c r="E963" s="168"/>
      <c r="F963" s="169"/>
      <c r="G963" s="170"/>
      <c r="H963" s="171"/>
      <c r="I963" s="452"/>
      <c r="J963" s="454">
        <f t="shared" si="266"/>
        <v>0</v>
      </c>
      <c r="K963" s="392" t="s">
        <v>1029</v>
      </c>
      <c r="L963" s="152">
        <v>0</v>
      </c>
      <c r="M963" s="152"/>
      <c r="N963" s="402">
        <f t="shared" si="272"/>
        <v>0</v>
      </c>
      <c r="O963" s="402">
        <f t="shared" si="268"/>
        <v>0</v>
      </c>
      <c r="P963" s="403"/>
      <c r="Q963" s="152">
        <f t="shared" si="269"/>
        <v>0</v>
      </c>
      <c r="R963" s="152">
        <f t="shared" si="269"/>
        <v>0</v>
      </c>
      <c r="S963" s="402">
        <f t="shared" si="270"/>
        <v>0</v>
      </c>
      <c r="T963" s="404">
        <f t="shared" si="271"/>
        <v>0</v>
      </c>
      <c r="U963" s="403"/>
      <c r="W963" s="43" t="str">
        <f t="shared" si="247"/>
        <v/>
      </c>
      <c r="X963" s="43" t="str">
        <f t="shared" si="264"/>
        <v/>
      </c>
      <c r="Y963" s="43" t="str">
        <f t="shared" si="265"/>
        <v/>
      </c>
    </row>
    <row r="964" spans="1:25" ht="13.5" hidden="1" thickBot="1">
      <c r="A964" s="397" t="s">
        <v>217</v>
      </c>
      <c r="B964" s="165" t="s">
        <v>217</v>
      </c>
      <c r="C964" s="166"/>
      <c r="D964" s="167"/>
      <c r="E964" s="168"/>
      <c r="F964" s="169"/>
      <c r="G964" s="170"/>
      <c r="H964" s="171"/>
      <c r="I964" s="452"/>
      <c r="J964" s="454">
        <f t="shared" si="266"/>
        <v>0</v>
      </c>
      <c r="K964" s="392" t="s">
        <v>1029</v>
      </c>
      <c r="L964" s="152">
        <v>0</v>
      </c>
      <c r="M964" s="152"/>
      <c r="N964" s="402">
        <f t="shared" si="272"/>
        <v>0</v>
      </c>
      <c r="O964" s="402">
        <f t="shared" si="268"/>
        <v>0</v>
      </c>
      <c r="P964" s="403"/>
      <c r="Q964" s="152">
        <f t="shared" si="269"/>
        <v>0</v>
      </c>
      <c r="R964" s="152">
        <f t="shared" si="269"/>
        <v>0</v>
      </c>
      <c r="S964" s="402">
        <f t="shared" si="270"/>
        <v>0</v>
      </c>
      <c r="T964" s="404">
        <f t="shared" si="271"/>
        <v>0</v>
      </c>
      <c r="U964" s="403"/>
      <c r="W964" s="43" t="str">
        <f t="shared" si="247"/>
        <v/>
      </c>
      <c r="X964" s="43" t="str">
        <f t="shared" si="264"/>
        <v/>
      </c>
      <c r="Y964" s="43" t="str">
        <f t="shared" si="265"/>
        <v/>
      </c>
    </row>
    <row r="965" spans="1:25" ht="13.5" hidden="1" thickBot="1">
      <c r="A965" s="397" t="s">
        <v>217</v>
      </c>
      <c r="B965" s="165" t="s">
        <v>217</v>
      </c>
      <c r="C965" s="166"/>
      <c r="D965" s="167"/>
      <c r="E965" s="168"/>
      <c r="F965" s="169"/>
      <c r="G965" s="170"/>
      <c r="H965" s="171"/>
      <c r="I965" s="452"/>
      <c r="J965" s="454">
        <f t="shared" si="266"/>
        <v>0</v>
      </c>
      <c r="K965" s="392" t="s">
        <v>1029</v>
      </c>
      <c r="L965" s="152">
        <v>0</v>
      </c>
      <c r="M965" s="152"/>
      <c r="N965" s="402">
        <f t="shared" si="272"/>
        <v>0</v>
      </c>
      <c r="O965" s="402">
        <f t="shared" si="268"/>
        <v>0</v>
      </c>
      <c r="P965" s="403"/>
      <c r="Q965" s="152">
        <f t="shared" si="269"/>
        <v>0</v>
      </c>
      <c r="R965" s="152">
        <f t="shared" si="269"/>
        <v>0</v>
      </c>
      <c r="S965" s="402">
        <f t="shared" si="270"/>
        <v>0</v>
      </c>
      <c r="T965" s="404">
        <f t="shared" si="271"/>
        <v>0</v>
      </c>
      <c r="U965" s="403"/>
      <c r="W965" s="43" t="str">
        <f t="shared" si="247"/>
        <v/>
      </c>
      <c r="X965" s="43" t="str">
        <f t="shared" si="264"/>
        <v/>
      </c>
      <c r="Y965" s="43" t="str">
        <f t="shared" si="265"/>
        <v/>
      </c>
    </row>
    <row r="966" spans="1:25" ht="13.5" hidden="1" thickBot="1">
      <c r="A966" s="397" t="s">
        <v>217</v>
      </c>
      <c r="B966" s="165" t="s">
        <v>217</v>
      </c>
      <c r="C966" s="166"/>
      <c r="D966" s="167"/>
      <c r="E966" s="168"/>
      <c r="F966" s="169"/>
      <c r="G966" s="170"/>
      <c r="H966" s="171"/>
      <c r="I966" s="452"/>
      <c r="J966" s="454">
        <f t="shared" si="266"/>
        <v>0</v>
      </c>
      <c r="K966" s="392" t="s">
        <v>1029</v>
      </c>
      <c r="L966" s="152">
        <v>0</v>
      </c>
      <c r="M966" s="152"/>
      <c r="N966" s="402">
        <f t="shared" si="272"/>
        <v>0</v>
      </c>
      <c r="O966" s="402">
        <f t="shared" si="268"/>
        <v>0</v>
      </c>
      <c r="P966" s="403"/>
      <c r="Q966" s="152">
        <f t="shared" si="269"/>
        <v>0</v>
      </c>
      <c r="R966" s="152">
        <f t="shared" si="269"/>
        <v>0</v>
      </c>
      <c r="S966" s="402">
        <f t="shared" si="270"/>
        <v>0</v>
      </c>
      <c r="T966" s="404">
        <f t="shared" si="271"/>
        <v>0</v>
      </c>
      <c r="U966" s="403"/>
      <c r="W966" s="43" t="str">
        <f t="shared" si="247"/>
        <v/>
      </c>
      <c r="X966" s="43" t="str">
        <f t="shared" si="264"/>
        <v/>
      </c>
      <c r="Y966" s="43" t="str">
        <f t="shared" si="265"/>
        <v/>
      </c>
    </row>
    <row r="967" spans="1:25" ht="13.5" hidden="1" thickBot="1">
      <c r="A967" s="397" t="s">
        <v>217</v>
      </c>
      <c r="B967" s="165" t="s">
        <v>217</v>
      </c>
      <c r="C967" s="166"/>
      <c r="D967" s="167"/>
      <c r="E967" s="168"/>
      <c r="F967" s="169"/>
      <c r="G967" s="170"/>
      <c r="H967" s="171"/>
      <c r="I967" s="452"/>
      <c r="J967" s="454">
        <f t="shared" si="266"/>
        <v>0</v>
      </c>
      <c r="K967" s="392" t="s">
        <v>1029</v>
      </c>
      <c r="L967" s="152">
        <v>0</v>
      </c>
      <c r="M967" s="152"/>
      <c r="N967" s="402">
        <f t="shared" si="272"/>
        <v>0</v>
      </c>
      <c r="O967" s="402">
        <f t="shared" si="268"/>
        <v>0</v>
      </c>
      <c r="P967" s="403"/>
      <c r="Q967" s="152">
        <f t="shared" si="269"/>
        <v>0</v>
      </c>
      <c r="R967" s="152">
        <f t="shared" si="269"/>
        <v>0</v>
      </c>
      <c r="S967" s="402">
        <f t="shared" si="270"/>
        <v>0</v>
      </c>
      <c r="T967" s="404">
        <f t="shared" si="271"/>
        <v>0</v>
      </c>
      <c r="U967" s="403"/>
      <c r="W967" s="43" t="str">
        <f t="shared" si="247"/>
        <v/>
      </c>
      <c r="X967" s="43" t="str">
        <f t="shared" si="264"/>
        <v/>
      </c>
      <c r="Y967" s="43" t="str">
        <f t="shared" si="265"/>
        <v/>
      </c>
    </row>
    <row r="968" spans="1:25" ht="13.5" hidden="1" thickBot="1">
      <c r="A968" s="397" t="s">
        <v>217</v>
      </c>
      <c r="B968" s="165" t="s">
        <v>217</v>
      </c>
      <c r="C968" s="166"/>
      <c r="D968" s="167"/>
      <c r="E968" s="168"/>
      <c r="F968" s="169"/>
      <c r="G968" s="170"/>
      <c r="H968" s="171"/>
      <c r="I968" s="452"/>
      <c r="J968" s="454">
        <f t="shared" si="266"/>
        <v>0</v>
      </c>
      <c r="K968" s="392" t="s">
        <v>1029</v>
      </c>
      <c r="L968" s="152">
        <v>0</v>
      </c>
      <c r="M968" s="152"/>
      <c r="N968" s="402">
        <f t="shared" si="272"/>
        <v>0</v>
      </c>
      <c r="O968" s="402">
        <f t="shared" si="268"/>
        <v>0</v>
      </c>
      <c r="P968" s="403"/>
      <c r="Q968" s="152">
        <f t="shared" si="269"/>
        <v>0</v>
      </c>
      <c r="R968" s="152">
        <f t="shared" si="269"/>
        <v>0</v>
      </c>
      <c r="S968" s="402">
        <f t="shared" si="270"/>
        <v>0</v>
      </c>
      <c r="T968" s="404">
        <f t="shared" si="271"/>
        <v>0</v>
      </c>
      <c r="U968" s="403"/>
      <c r="W968" s="43" t="str">
        <f t="shared" si="247"/>
        <v/>
      </c>
      <c r="X968" s="43" t="str">
        <f t="shared" si="264"/>
        <v/>
      </c>
      <c r="Y968" s="43" t="str">
        <f t="shared" si="265"/>
        <v/>
      </c>
    </row>
    <row r="969" spans="1:25" ht="13.5" hidden="1" thickBot="1">
      <c r="A969" s="397" t="s">
        <v>217</v>
      </c>
      <c r="B969" s="165" t="s">
        <v>217</v>
      </c>
      <c r="C969" s="166"/>
      <c r="D969" s="167"/>
      <c r="E969" s="168"/>
      <c r="F969" s="169"/>
      <c r="G969" s="170"/>
      <c r="H969" s="171"/>
      <c r="I969" s="452"/>
      <c r="J969" s="454">
        <f t="shared" si="266"/>
        <v>0</v>
      </c>
      <c r="K969" s="392" t="s">
        <v>1029</v>
      </c>
      <c r="L969" s="152">
        <v>0</v>
      </c>
      <c r="M969" s="152"/>
      <c r="N969" s="402">
        <f t="shared" si="272"/>
        <v>0</v>
      </c>
      <c r="O969" s="402">
        <f t="shared" si="268"/>
        <v>0</v>
      </c>
      <c r="P969" s="403"/>
      <c r="Q969" s="152">
        <f t="shared" si="269"/>
        <v>0</v>
      </c>
      <c r="R969" s="152">
        <f t="shared" si="269"/>
        <v>0</v>
      </c>
      <c r="S969" s="402">
        <f t="shared" si="270"/>
        <v>0</v>
      </c>
      <c r="T969" s="404">
        <f t="shared" si="271"/>
        <v>0</v>
      </c>
      <c r="U969" s="403"/>
      <c r="W969" s="43" t="str">
        <f t="shared" si="247"/>
        <v/>
      </c>
      <c r="X969" s="43" t="str">
        <f t="shared" si="264"/>
        <v/>
      </c>
      <c r="Y969" s="43" t="str">
        <f t="shared" si="265"/>
        <v/>
      </c>
    </row>
    <row r="970" spans="1:25" ht="13.5" hidden="1" thickBot="1">
      <c r="A970" s="397" t="s">
        <v>217</v>
      </c>
      <c r="B970" s="165" t="s">
        <v>217</v>
      </c>
      <c r="C970" s="166"/>
      <c r="D970" s="167"/>
      <c r="E970" s="168"/>
      <c r="F970" s="169"/>
      <c r="G970" s="170"/>
      <c r="H970" s="171"/>
      <c r="I970" s="452"/>
      <c r="J970" s="454">
        <f t="shared" si="266"/>
        <v>0</v>
      </c>
      <c r="K970" s="392" t="s">
        <v>1029</v>
      </c>
      <c r="L970" s="152">
        <v>0</v>
      </c>
      <c r="M970" s="152"/>
      <c r="N970" s="402">
        <f t="shared" si="272"/>
        <v>0</v>
      </c>
      <c r="O970" s="402">
        <f t="shared" si="268"/>
        <v>0</v>
      </c>
      <c r="P970" s="403"/>
      <c r="Q970" s="152">
        <f t="shared" si="269"/>
        <v>0</v>
      </c>
      <c r="R970" s="152">
        <f t="shared" si="269"/>
        <v>0</v>
      </c>
      <c r="S970" s="402">
        <f t="shared" si="270"/>
        <v>0</v>
      </c>
      <c r="T970" s="404">
        <f t="shared" si="271"/>
        <v>0</v>
      </c>
      <c r="U970" s="403"/>
      <c r="W970" s="43" t="str">
        <f t="shared" si="247"/>
        <v/>
      </c>
      <c r="X970" s="43" t="str">
        <f t="shared" si="264"/>
        <v/>
      </c>
      <c r="Y970" s="43" t="str">
        <f t="shared" si="265"/>
        <v/>
      </c>
    </row>
    <row r="971" spans="1:25" ht="13.5" hidden="1" thickBot="1">
      <c r="A971" s="397" t="s">
        <v>217</v>
      </c>
      <c r="B971" s="165" t="s">
        <v>217</v>
      </c>
      <c r="C971" s="166"/>
      <c r="D971" s="167"/>
      <c r="E971" s="168"/>
      <c r="F971" s="169"/>
      <c r="G971" s="170"/>
      <c r="H971" s="171"/>
      <c r="I971" s="452"/>
      <c r="J971" s="454">
        <f t="shared" si="266"/>
        <v>0</v>
      </c>
      <c r="K971" s="392" t="s">
        <v>1029</v>
      </c>
      <c r="L971" s="152">
        <v>0</v>
      </c>
      <c r="M971" s="152"/>
      <c r="N971" s="402">
        <f t="shared" si="272"/>
        <v>0</v>
      </c>
      <c r="O971" s="402">
        <f t="shared" si="268"/>
        <v>0</v>
      </c>
      <c r="P971" s="403"/>
      <c r="Q971" s="152">
        <f t="shared" si="269"/>
        <v>0</v>
      </c>
      <c r="R971" s="152">
        <f t="shared" si="269"/>
        <v>0</v>
      </c>
      <c r="S971" s="402">
        <f t="shared" si="270"/>
        <v>0</v>
      </c>
      <c r="T971" s="404">
        <f t="shared" si="271"/>
        <v>0</v>
      </c>
      <c r="U971" s="403"/>
      <c r="W971" s="43" t="str">
        <f t="shared" ref="W971:W1225" si="273">IF(V971="X","x",IF(V971="xx","x",IF(V971="xy","x",IF(V971="y","x",IF(OR(O971&gt;0,T971&gt;0),"x","")))))</f>
        <v/>
      </c>
      <c r="X971" s="43" t="str">
        <f t="shared" si="264"/>
        <v/>
      </c>
      <c r="Y971" s="43" t="str">
        <f t="shared" si="265"/>
        <v/>
      </c>
    </row>
    <row r="972" spans="1:25" ht="13.5" hidden="1" thickBot="1">
      <c r="A972" s="397" t="s">
        <v>217</v>
      </c>
      <c r="B972" s="165" t="s">
        <v>217</v>
      </c>
      <c r="C972" s="166"/>
      <c r="D972" s="167"/>
      <c r="E972" s="168"/>
      <c r="F972" s="169"/>
      <c r="G972" s="170"/>
      <c r="H972" s="171"/>
      <c r="I972" s="452"/>
      <c r="J972" s="454">
        <f t="shared" si="266"/>
        <v>0</v>
      </c>
      <c r="K972" s="392" t="s">
        <v>1029</v>
      </c>
      <c r="L972" s="152">
        <v>0</v>
      </c>
      <c r="M972" s="152"/>
      <c r="N972" s="402">
        <f t="shared" si="272"/>
        <v>0</v>
      </c>
      <c r="O972" s="402">
        <f t="shared" si="268"/>
        <v>0</v>
      </c>
      <c r="P972" s="403"/>
      <c r="Q972" s="152">
        <f t="shared" si="269"/>
        <v>0</v>
      </c>
      <c r="R972" s="152">
        <f t="shared" si="269"/>
        <v>0</v>
      </c>
      <c r="S972" s="402">
        <f t="shared" si="270"/>
        <v>0</v>
      </c>
      <c r="T972" s="404">
        <f t="shared" si="271"/>
        <v>0</v>
      </c>
      <c r="U972" s="403"/>
      <c r="W972" s="43" t="str">
        <f t="shared" si="273"/>
        <v/>
      </c>
      <c r="X972" s="43" t="str">
        <f t="shared" si="264"/>
        <v/>
      </c>
      <c r="Y972" s="43" t="str">
        <f t="shared" si="265"/>
        <v/>
      </c>
    </row>
    <row r="973" spans="1:25" ht="13.5" hidden="1" thickBot="1">
      <c r="A973" s="397" t="s">
        <v>217</v>
      </c>
      <c r="B973" s="165" t="s">
        <v>217</v>
      </c>
      <c r="C973" s="166"/>
      <c r="D973" s="167"/>
      <c r="E973" s="168"/>
      <c r="F973" s="169"/>
      <c r="G973" s="170"/>
      <c r="H973" s="171"/>
      <c r="I973" s="452"/>
      <c r="J973" s="454">
        <f t="shared" si="266"/>
        <v>0</v>
      </c>
      <c r="K973" s="392" t="s">
        <v>1029</v>
      </c>
      <c r="L973" s="152">
        <v>0</v>
      </c>
      <c r="M973" s="152"/>
      <c r="N973" s="402">
        <f t="shared" si="272"/>
        <v>0</v>
      </c>
      <c r="O973" s="402">
        <f t="shared" si="268"/>
        <v>0</v>
      </c>
      <c r="P973" s="403"/>
      <c r="Q973" s="152">
        <f t="shared" si="269"/>
        <v>0</v>
      </c>
      <c r="R973" s="152">
        <f t="shared" si="269"/>
        <v>0</v>
      </c>
      <c r="S973" s="402">
        <f t="shared" si="270"/>
        <v>0</v>
      </c>
      <c r="T973" s="404">
        <f t="shared" si="271"/>
        <v>0</v>
      </c>
      <c r="U973" s="403"/>
      <c r="W973" s="43" t="str">
        <f t="shared" si="273"/>
        <v/>
      </c>
      <c r="X973" s="43" t="str">
        <f t="shared" si="264"/>
        <v/>
      </c>
      <c r="Y973" s="43" t="str">
        <f t="shared" si="265"/>
        <v/>
      </c>
    </row>
    <row r="974" spans="1:25" ht="13.5" hidden="1" thickBot="1">
      <c r="A974" s="397" t="s">
        <v>217</v>
      </c>
      <c r="B974" s="165" t="s">
        <v>217</v>
      </c>
      <c r="C974" s="166"/>
      <c r="D974" s="167"/>
      <c r="E974" s="168"/>
      <c r="F974" s="169"/>
      <c r="G974" s="170"/>
      <c r="H974" s="171"/>
      <c r="I974" s="452"/>
      <c r="J974" s="454">
        <f t="shared" si="266"/>
        <v>0</v>
      </c>
      <c r="K974" s="392" t="s">
        <v>1029</v>
      </c>
      <c r="L974" s="152">
        <v>0</v>
      </c>
      <c r="M974" s="152"/>
      <c r="N974" s="402">
        <f t="shared" si="272"/>
        <v>0</v>
      </c>
      <c r="O974" s="402">
        <f t="shared" si="268"/>
        <v>0</v>
      </c>
      <c r="P974" s="403"/>
      <c r="Q974" s="152">
        <f t="shared" si="269"/>
        <v>0</v>
      </c>
      <c r="R974" s="152">
        <f t="shared" si="269"/>
        <v>0</v>
      </c>
      <c r="S974" s="402">
        <f t="shared" si="270"/>
        <v>0</v>
      </c>
      <c r="T974" s="404">
        <f t="shared" si="271"/>
        <v>0</v>
      </c>
      <c r="U974" s="403"/>
      <c r="W974" s="43" t="str">
        <f t="shared" si="273"/>
        <v/>
      </c>
      <c r="X974" s="43" t="str">
        <f t="shared" si="264"/>
        <v/>
      </c>
      <c r="Y974" s="43" t="str">
        <f t="shared" si="265"/>
        <v/>
      </c>
    </row>
    <row r="975" spans="1:25" ht="13.5" hidden="1" thickBot="1">
      <c r="A975" s="397" t="s">
        <v>217</v>
      </c>
      <c r="B975" s="165" t="s">
        <v>217</v>
      </c>
      <c r="C975" s="166"/>
      <c r="D975" s="167"/>
      <c r="E975" s="168"/>
      <c r="F975" s="169"/>
      <c r="G975" s="170"/>
      <c r="H975" s="171"/>
      <c r="I975" s="452"/>
      <c r="J975" s="454">
        <f t="shared" si="266"/>
        <v>0</v>
      </c>
      <c r="K975" s="392" t="s">
        <v>1029</v>
      </c>
      <c r="L975" s="152">
        <v>0</v>
      </c>
      <c r="M975" s="152"/>
      <c r="N975" s="402">
        <f t="shared" si="272"/>
        <v>0</v>
      </c>
      <c r="O975" s="402">
        <f t="shared" si="268"/>
        <v>0</v>
      </c>
      <c r="P975" s="403"/>
      <c r="Q975" s="152">
        <f t="shared" si="269"/>
        <v>0</v>
      </c>
      <c r="R975" s="152">
        <f t="shared" si="269"/>
        <v>0</v>
      </c>
      <c r="S975" s="402">
        <f t="shared" si="270"/>
        <v>0</v>
      </c>
      <c r="T975" s="404">
        <f t="shared" si="271"/>
        <v>0</v>
      </c>
      <c r="U975" s="403"/>
      <c r="W975" s="43" t="str">
        <f t="shared" si="273"/>
        <v/>
      </c>
      <c r="X975" s="43" t="str">
        <f t="shared" si="264"/>
        <v/>
      </c>
      <c r="Y975" s="43" t="str">
        <f t="shared" si="265"/>
        <v/>
      </c>
    </row>
    <row r="976" spans="1:25" ht="13.5" hidden="1" thickBot="1">
      <c r="A976" s="397" t="s">
        <v>217</v>
      </c>
      <c r="B976" s="165" t="s">
        <v>217</v>
      </c>
      <c r="C976" s="166"/>
      <c r="D976" s="167"/>
      <c r="E976" s="168"/>
      <c r="F976" s="169"/>
      <c r="G976" s="170"/>
      <c r="H976" s="171"/>
      <c r="I976" s="452"/>
      <c r="J976" s="454">
        <f t="shared" si="266"/>
        <v>0</v>
      </c>
      <c r="K976" s="392" t="s">
        <v>1029</v>
      </c>
      <c r="L976" s="152">
        <v>0</v>
      </c>
      <c r="M976" s="152"/>
      <c r="N976" s="402">
        <f t="shared" si="272"/>
        <v>0</v>
      </c>
      <c r="O976" s="402">
        <f t="shared" si="268"/>
        <v>0</v>
      </c>
      <c r="P976" s="403"/>
      <c r="Q976" s="152">
        <f t="shared" si="269"/>
        <v>0</v>
      </c>
      <c r="R976" s="152">
        <f t="shared" si="269"/>
        <v>0</v>
      </c>
      <c r="S976" s="402">
        <f t="shared" si="270"/>
        <v>0</v>
      </c>
      <c r="T976" s="404">
        <f t="shared" si="271"/>
        <v>0</v>
      </c>
      <c r="U976" s="403"/>
      <c r="W976" s="43" t="str">
        <f t="shared" si="273"/>
        <v/>
      </c>
      <c r="X976" s="43" t="str">
        <f t="shared" si="264"/>
        <v/>
      </c>
      <c r="Y976" s="43" t="str">
        <f t="shared" si="265"/>
        <v/>
      </c>
    </row>
    <row r="977" spans="1:25" ht="13.5" hidden="1" thickBot="1">
      <c r="A977" s="397" t="s">
        <v>217</v>
      </c>
      <c r="B977" s="165" t="s">
        <v>217</v>
      </c>
      <c r="C977" s="166"/>
      <c r="D977" s="167"/>
      <c r="E977" s="168"/>
      <c r="F977" s="169"/>
      <c r="G977" s="170"/>
      <c r="H977" s="171"/>
      <c r="I977" s="452"/>
      <c r="J977" s="454">
        <f t="shared" si="266"/>
        <v>0</v>
      </c>
      <c r="K977" s="392" t="s">
        <v>1029</v>
      </c>
      <c r="L977" s="152">
        <v>0</v>
      </c>
      <c r="M977" s="152"/>
      <c r="N977" s="402">
        <f t="shared" si="272"/>
        <v>0</v>
      </c>
      <c r="O977" s="402">
        <f t="shared" si="268"/>
        <v>0</v>
      </c>
      <c r="P977" s="403"/>
      <c r="Q977" s="152">
        <f t="shared" si="269"/>
        <v>0</v>
      </c>
      <c r="R977" s="152">
        <f t="shared" si="269"/>
        <v>0</v>
      </c>
      <c r="S977" s="402">
        <f t="shared" si="270"/>
        <v>0</v>
      </c>
      <c r="T977" s="404">
        <f t="shared" si="271"/>
        <v>0</v>
      </c>
      <c r="U977" s="403"/>
      <c r="W977" s="43" t="str">
        <f t="shared" si="273"/>
        <v/>
      </c>
      <c r="X977" s="43" t="str">
        <f t="shared" si="264"/>
        <v/>
      </c>
      <c r="Y977" s="43" t="str">
        <f t="shared" si="265"/>
        <v/>
      </c>
    </row>
    <row r="978" spans="1:25" ht="13.5" hidden="1" thickBot="1">
      <c r="A978" s="397" t="s">
        <v>217</v>
      </c>
      <c r="B978" s="165" t="s">
        <v>217</v>
      </c>
      <c r="C978" s="166"/>
      <c r="D978" s="167"/>
      <c r="E978" s="168"/>
      <c r="F978" s="169"/>
      <c r="G978" s="170"/>
      <c r="H978" s="171"/>
      <c r="I978" s="452"/>
      <c r="J978" s="454">
        <f t="shared" si="266"/>
        <v>0</v>
      </c>
      <c r="K978" s="392" t="s">
        <v>1029</v>
      </c>
      <c r="L978" s="152">
        <v>0</v>
      </c>
      <c r="M978" s="152"/>
      <c r="N978" s="402">
        <f t="shared" si="272"/>
        <v>0</v>
      </c>
      <c r="O978" s="402">
        <f t="shared" si="268"/>
        <v>0</v>
      </c>
      <c r="P978" s="403"/>
      <c r="Q978" s="152">
        <f t="shared" si="269"/>
        <v>0</v>
      </c>
      <c r="R978" s="152">
        <f t="shared" si="269"/>
        <v>0</v>
      </c>
      <c r="S978" s="402">
        <f t="shared" si="270"/>
        <v>0</v>
      </c>
      <c r="T978" s="404">
        <f t="shared" si="271"/>
        <v>0</v>
      </c>
      <c r="U978" s="403"/>
      <c r="W978" s="43" t="str">
        <f t="shared" si="273"/>
        <v/>
      </c>
      <c r="X978" s="43" t="str">
        <f t="shared" si="264"/>
        <v/>
      </c>
      <c r="Y978" s="43" t="str">
        <f t="shared" si="265"/>
        <v/>
      </c>
    </row>
    <row r="979" spans="1:25" ht="13.5" hidden="1" thickBot="1">
      <c r="A979" s="397" t="s">
        <v>217</v>
      </c>
      <c r="B979" s="165" t="s">
        <v>217</v>
      </c>
      <c r="C979" s="166"/>
      <c r="D979" s="167"/>
      <c r="E979" s="168"/>
      <c r="F979" s="169"/>
      <c r="G979" s="170"/>
      <c r="H979" s="171"/>
      <c r="I979" s="452"/>
      <c r="J979" s="454">
        <f t="shared" si="266"/>
        <v>0</v>
      </c>
      <c r="K979" s="392" t="s">
        <v>1029</v>
      </c>
      <c r="L979" s="152">
        <v>0</v>
      </c>
      <c r="M979" s="152"/>
      <c r="N979" s="402">
        <f t="shared" si="272"/>
        <v>0</v>
      </c>
      <c r="O979" s="402">
        <f t="shared" si="268"/>
        <v>0</v>
      </c>
      <c r="P979" s="403"/>
      <c r="Q979" s="152">
        <f t="shared" si="269"/>
        <v>0</v>
      </c>
      <c r="R979" s="152">
        <f t="shared" si="269"/>
        <v>0</v>
      </c>
      <c r="S979" s="402">
        <f t="shared" si="270"/>
        <v>0</v>
      </c>
      <c r="T979" s="404">
        <f t="shared" si="271"/>
        <v>0</v>
      </c>
      <c r="U979" s="403"/>
      <c r="W979" s="43" t="str">
        <f t="shared" si="273"/>
        <v/>
      </c>
      <c r="X979" s="43" t="str">
        <f t="shared" si="264"/>
        <v/>
      </c>
      <c r="Y979" s="43" t="str">
        <f t="shared" si="265"/>
        <v/>
      </c>
    </row>
    <row r="980" spans="1:25" ht="13.5" hidden="1" thickBot="1">
      <c r="A980" s="397" t="s">
        <v>217</v>
      </c>
      <c r="B980" s="165" t="s">
        <v>217</v>
      </c>
      <c r="C980" s="166"/>
      <c r="D980" s="167"/>
      <c r="E980" s="168"/>
      <c r="F980" s="169"/>
      <c r="G980" s="170"/>
      <c r="H980" s="171"/>
      <c r="I980" s="452"/>
      <c r="J980" s="454">
        <f t="shared" si="266"/>
        <v>0</v>
      </c>
      <c r="K980" s="392" t="s">
        <v>1029</v>
      </c>
      <c r="L980" s="152">
        <v>0</v>
      </c>
      <c r="M980" s="152"/>
      <c r="N980" s="402">
        <f t="shared" si="272"/>
        <v>0</v>
      </c>
      <c r="O980" s="402">
        <f t="shared" si="268"/>
        <v>0</v>
      </c>
      <c r="P980" s="403"/>
      <c r="Q980" s="152">
        <f t="shared" si="269"/>
        <v>0</v>
      </c>
      <c r="R980" s="152">
        <f t="shared" si="269"/>
        <v>0</v>
      </c>
      <c r="S980" s="402">
        <f t="shared" si="270"/>
        <v>0</v>
      </c>
      <c r="T980" s="404">
        <f t="shared" si="271"/>
        <v>0</v>
      </c>
      <c r="U980" s="403"/>
      <c r="W980" s="43" t="str">
        <f t="shared" si="273"/>
        <v/>
      </c>
      <c r="X980" s="43" t="str">
        <f t="shared" si="264"/>
        <v/>
      </c>
      <c r="Y980" s="43" t="str">
        <f t="shared" si="265"/>
        <v/>
      </c>
    </row>
    <row r="981" spans="1:25" ht="13.5" hidden="1" thickBot="1">
      <c r="A981" s="398" t="s">
        <v>217</v>
      </c>
      <c r="B981" s="172" t="s">
        <v>217</v>
      </c>
      <c r="C981" s="173"/>
      <c r="D981" s="174"/>
      <c r="E981" s="175"/>
      <c r="F981" s="176"/>
      <c r="G981" s="177"/>
      <c r="H981" s="178"/>
      <c r="I981" s="455"/>
      <c r="J981" s="456">
        <f t="shared" si="266"/>
        <v>0</v>
      </c>
      <c r="K981" s="393" t="s">
        <v>1029</v>
      </c>
      <c r="L981" s="469">
        <v>0</v>
      </c>
      <c r="M981" s="152"/>
      <c r="N981" s="163">
        <f t="shared" si="272"/>
        <v>0</v>
      </c>
      <c r="O981" s="163">
        <f t="shared" si="268"/>
        <v>0</v>
      </c>
      <c r="P981" s="403"/>
      <c r="Q981" s="152">
        <f t="shared" si="269"/>
        <v>0</v>
      </c>
      <c r="R981" s="152">
        <f t="shared" si="269"/>
        <v>0</v>
      </c>
      <c r="S981" s="163">
        <f t="shared" si="270"/>
        <v>0</v>
      </c>
      <c r="T981" s="179">
        <f t="shared" si="271"/>
        <v>0</v>
      </c>
      <c r="U981" s="403"/>
      <c r="W981" s="43" t="str">
        <f t="shared" si="273"/>
        <v/>
      </c>
      <c r="X981" s="43" t="str">
        <f t="shared" si="264"/>
        <v/>
      </c>
      <c r="Y981" s="43" t="str">
        <f t="shared" si="265"/>
        <v/>
      </c>
    </row>
    <row r="982" spans="1:25" ht="13.5" thickBot="1">
      <c r="A982" s="180" t="s">
        <v>609</v>
      </c>
      <c r="B982" s="181"/>
      <c r="C982" s="346" t="s">
        <v>595</v>
      </c>
      <c r="D982" s="137"/>
      <c r="E982" s="138"/>
      <c r="F982" s="139"/>
      <c r="G982" s="140"/>
      <c r="H982" s="141"/>
      <c r="I982" s="141"/>
      <c r="J982" s="141"/>
      <c r="K982" s="141" t="s">
        <v>1029</v>
      </c>
      <c r="L982" s="470">
        <v>0</v>
      </c>
      <c r="M982" s="141"/>
      <c r="N982" s="141"/>
      <c r="O982" s="142"/>
      <c r="P982" s="143">
        <f>SUM(O983:O1697)</f>
        <v>189790.69999999998</v>
      </c>
      <c r="Q982" s="140"/>
      <c r="R982" s="141"/>
      <c r="S982" s="141"/>
      <c r="T982" s="142"/>
      <c r="U982" s="143">
        <f>SUM(T983:T1697)</f>
        <v>189790.69999999998</v>
      </c>
      <c r="V982" s="144" t="str">
        <f>IF(OR(P982&gt;0,U982&gt;0),"X","")</f>
        <v>X</v>
      </c>
      <c r="W982" s="43" t="str">
        <f t="shared" si="273"/>
        <v>x</v>
      </c>
      <c r="X982" s="43" t="str">
        <f t="shared" si="264"/>
        <v>x</v>
      </c>
      <c r="Y982" s="43" t="str">
        <f t="shared" si="265"/>
        <v>x</v>
      </c>
    </row>
    <row r="983" spans="1:25" hidden="1">
      <c r="A983" s="155">
        <v>600000</v>
      </c>
      <c r="B983" s="156" t="s">
        <v>242</v>
      </c>
      <c r="C983" s="411" t="s">
        <v>430</v>
      </c>
      <c r="D983" s="351"/>
      <c r="E983" s="405">
        <v>0</v>
      </c>
      <c r="F983" s="406">
        <v>0</v>
      </c>
      <c r="G983" s="158">
        <v>0</v>
      </c>
      <c r="H983" s="465">
        <v>35.65</v>
      </c>
      <c r="I983" s="465">
        <f>IF(ISBLANK(H983),"",SUM(G983:H983))</f>
        <v>35.65</v>
      </c>
      <c r="J983" s="407">
        <f t="shared" ref="J983:J1201" si="274">IF(ISBLANK(H983),0,ROUND(I983*(1+$E$10)*(1+$E$11*D983),2))</f>
        <v>45.2</v>
      </c>
      <c r="K983" s="408" t="s">
        <v>16</v>
      </c>
      <c r="L983" s="152">
        <v>0</v>
      </c>
      <c r="M983" s="152"/>
      <c r="N983" s="402">
        <f t="shared" ref="N983:N1194" si="275">IF(ISBLANK(L983),0,ROUND(J983*L983,2))</f>
        <v>0</v>
      </c>
      <c r="O983" s="402">
        <f t="shared" ref="O983:O1194" si="276">IF(ISBLANK(M983),0,ROUND(L983*M983,2))</f>
        <v>0</v>
      </c>
      <c r="P983" s="403"/>
      <c r="Q983" s="152">
        <f t="shared" ref="Q983:R1192" si="277">L983</f>
        <v>0</v>
      </c>
      <c r="R983" s="152">
        <f t="shared" si="277"/>
        <v>0</v>
      </c>
      <c r="S983" s="402">
        <f t="shared" ref="S983:S1194" si="278">IF(ISBLANK(Q983),0,ROUND(J983*Q983,2))</f>
        <v>0</v>
      </c>
      <c r="T983" s="404">
        <f t="shared" ref="T983:T1193" si="279">IF(ISBLANK(Q983),0,ROUND(Q983*R983,2))</f>
        <v>0</v>
      </c>
      <c r="U983" s="403"/>
      <c r="W983" s="43" t="str">
        <f t="shared" si="273"/>
        <v/>
      </c>
      <c r="X983" s="43" t="str">
        <f t="shared" si="264"/>
        <v/>
      </c>
      <c r="Y983" s="43" t="str">
        <f t="shared" si="265"/>
        <v/>
      </c>
    </row>
    <row r="984" spans="1:25">
      <c r="A984" s="155">
        <v>600300</v>
      </c>
      <c r="B984" s="156" t="s">
        <v>242</v>
      </c>
      <c r="C984" s="411" t="s">
        <v>431</v>
      </c>
      <c r="D984" s="351"/>
      <c r="E984" s="405">
        <v>0</v>
      </c>
      <c r="F984" s="406">
        <v>0</v>
      </c>
      <c r="G984" s="158">
        <v>0</v>
      </c>
      <c r="H984" s="465">
        <v>6.48</v>
      </c>
      <c r="I984" s="465">
        <f t="shared" ref="I984:I998" si="280">IF(ISBLANK(H984),"",SUM(G984:H984))</f>
        <v>6.48</v>
      </c>
      <c r="J984" s="407">
        <f t="shared" si="274"/>
        <v>8.2200000000000006</v>
      </c>
      <c r="K984" s="408" t="s">
        <v>16</v>
      </c>
      <c r="L984" s="152">
        <v>1217.44</v>
      </c>
      <c r="M984" s="152">
        <v>8</v>
      </c>
      <c r="N984" s="402">
        <f t="shared" si="275"/>
        <v>10007.36</v>
      </c>
      <c r="O984" s="402">
        <f t="shared" si="276"/>
        <v>9739.52</v>
      </c>
      <c r="P984" s="403"/>
      <c r="Q984" s="471">
        <f>L984</f>
        <v>1217.44</v>
      </c>
      <c r="R984" s="152">
        <v>8</v>
      </c>
      <c r="S984" s="402">
        <f t="shared" si="278"/>
        <v>10007.36</v>
      </c>
      <c r="T984" s="404">
        <f t="shared" si="279"/>
        <v>9739.52</v>
      </c>
      <c r="U984" s="403"/>
      <c r="V984" s="160" t="s">
        <v>200</v>
      </c>
      <c r="W984" s="43" t="str">
        <f t="shared" si="273"/>
        <v>x</v>
      </c>
      <c r="X984" s="43" t="str">
        <f t="shared" si="264"/>
        <v>x</v>
      </c>
      <c r="Y984" s="43" t="str">
        <f t="shared" si="265"/>
        <v>x</v>
      </c>
    </row>
    <row r="985" spans="1:25" hidden="1">
      <c r="A985" s="155">
        <v>600400</v>
      </c>
      <c r="B985" s="156" t="s">
        <v>242</v>
      </c>
      <c r="C985" s="411" t="s">
        <v>432</v>
      </c>
      <c r="D985" s="351"/>
      <c r="E985" s="405">
        <v>0</v>
      </c>
      <c r="F985" s="406"/>
      <c r="G985" s="158"/>
      <c r="H985" s="465">
        <v>6.59</v>
      </c>
      <c r="I985" s="465">
        <f t="shared" si="280"/>
        <v>6.59</v>
      </c>
      <c r="J985" s="407">
        <f t="shared" si="274"/>
        <v>8.36</v>
      </c>
      <c r="K985" s="408" t="s">
        <v>16</v>
      </c>
      <c r="L985" s="152">
        <v>96.01</v>
      </c>
      <c r="M985" s="152"/>
      <c r="N985" s="402">
        <f t="shared" si="275"/>
        <v>802.64</v>
      </c>
      <c r="O985" s="402">
        <f t="shared" si="276"/>
        <v>0</v>
      </c>
      <c r="P985" s="403"/>
      <c r="Q985" s="152">
        <f t="shared" si="277"/>
        <v>96.01</v>
      </c>
      <c r="R985" s="152">
        <f t="shared" si="277"/>
        <v>0</v>
      </c>
      <c r="S985" s="402">
        <f t="shared" si="278"/>
        <v>802.64</v>
      </c>
      <c r="T985" s="404">
        <f t="shared" si="279"/>
        <v>0</v>
      </c>
      <c r="U985" s="403"/>
      <c r="W985" s="43" t="str">
        <f t="shared" si="273"/>
        <v/>
      </c>
      <c r="X985" s="43" t="str">
        <f t="shared" si="264"/>
        <v/>
      </c>
      <c r="Y985" s="43" t="str">
        <f t="shared" si="265"/>
        <v/>
      </c>
    </row>
    <row r="986" spans="1:25" hidden="1">
      <c r="A986" s="155">
        <v>600500</v>
      </c>
      <c r="B986" s="156" t="s">
        <v>242</v>
      </c>
      <c r="C986" s="411" t="s">
        <v>433</v>
      </c>
      <c r="D986" s="351"/>
      <c r="E986" s="405">
        <v>0</v>
      </c>
      <c r="F986" s="406"/>
      <c r="G986" s="158"/>
      <c r="H986" s="465">
        <v>43.56</v>
      </c>
      <c r="I986" s="465">
        <f t="shared" si="280"/>
        <v>43.56</v>
      </c>
      <c r="J986" s="407">
        <f t="shared" si="274"/>
        <v>55.23</v>
      </c>
      <c r="K986" s="408" t="s">
        <v>16</v>
      </c>
      <c r="L986" s="152">
        <v>224.03</v>
      </c>
      <c r="M986" s="152"/>
      <c r="N986" s="402">
        <f t="shared" si="275"/>
        <v>12373.18</v>
      </c>
      <c r="O986" s="402">
        <f t="shared" si="276"/>
        <v>0</v>
      </c>
      <c r="P986" s="403"/>
      <c r="Q986" s="152">
        <f t="shared" si="277"/>
        <v>224.03</v>
      </c>
      <c r="R986" s="152">
        <f t="shared" si="277"/>
        <v>0</v>
      </c>
      <c r="S986" s="402">
        <f t="shared" si="278"/>
        <v>12373.18</v>
      </c>
      <c r="T986" s="404">
        <f t="shared" si="279"/>
        <v>0</v>
      </c>
      <c r="U986" s="403"/>
      <c r="W986" s="43" t="str">
        <f t="shared" si="273"/>
        <v/>
      </c>
      <c r="X986" s="43" t="str">
        <f t="shared" si="264"/>
        <v/>
      </c>
      <c r="Y986" s="43" t="str">
        <f t="shared" si="265"/>
        <v/>
      </c>
    </row>
    <row r="987" spans="1:25" hidden="1">
      <c r="A987" s="155">
        <v>600310</v>
      </c>
      <c r="B987" s="156" t="s">
        <v>242</v>
      </c>
      <c r="C987" s="343" t="s">
        <v>610</v>
      </c>
      <c r="D987" s="448"/>
      <c r="E987" s="182"/>
      <c r="F987" s="161"/>
      <c r="G987" s="162"/>
      <c r="H987" s="465">
        <v>94.26</v>
      </c>
      <c r="I987" s="465">
        <f t="shared" ref="I987:I990" si="281">IF(ISBLANK(H987),"",SUM(G987:H987))</f>
        <v>94.26</v>
      </c>
      <c r="J987" s="407">
        <f t="shared" ref="J987:J990" si="282">IF(ISBLANK(H987),0,ROUND(I987*(1+$E$9)*(1+$E$10*D987),2))</f>
        <v>110.1</v>
      </c>
      <c r="K987" s="408" t="s">
        <v>23</v>
      </c>
      <c r="L987" s="152">
        <v>196</v>
      </c>
      <c r="M987" s="152"/>
      <c r="N987" s="402">
        <f t="shared" si="275"/>
        <v>21579.599999999999</v>
      </c>
      <c r="O987" s="402">
        <f t="shared" si="276"/>
        <v>0</v>
      </c>
      <c r="P987" s="403"/>
      <c r="Q987" s="152">
        <f t="shared" si="277"/>
        <v>196</v>
      </c>
      <c r="R987" s="152">
        <f t="shared" si="277"/>
        <v>0</v>
      </c>
      <c r="S987" s="402">
        <f t="shared" si="278"/>
        <v>21579.599999999999</v>
      </c>
      <c r="T987" s="404">
        <f t="shared" si="279"/>
        <v>0</v>
      </c>
      <c r="U987" s="403"/>
      <c r="W987" s="43" t="str">
        <f t="shared" si="273"/>
        <v/>
      </c>
      <c r="X987" s="43" t="str">
        <f t="shared" si="264"/>
        <v/>
      </c>
      <c r="Y987" s="43" t="str">
        <f t="shared" si="265"/>
        <v/>
      </c>
    </row>
    <row r="988" spans="1:25" hidden="1">
      <c r="A988" s="155">
        <v>633000</v>
      </c>
      <c r="B988" s="156" t="s">
        <v>242</v>
      </c>
      <c r="C988" s="343" t="s">
        <v>1073</v>
      </c>
      <c r="D988" s="448"/>
      <c r="E988" s="182"/>
      <c r="F988" s="161"/>
      <c r="G988" s="162"/>
      <c r="H988" s="465">
        <v>59.43</v>
      </c>
      <c r="I988" s="465">
        <f t="shared" si="281"/>
        <v>59.43</v>
      </c>
      <c r="J988" s="407">
        <f t="shared" si="282"/>
        <v>69.41</v>
      </c>
      <c r="K988" s="408" t="s">
        <v>20</v>
      </c>
      <c r="L988" s="152">
        <v>0</v>
      </c>
      <c r="M988" s="152"/>
      <c r="N988" s="402">
        <f t="shared" si="275"/>
        <v>0</v>
      </c>
      <c r="O988" s="402">
        <f t="shared" si="276"/>
        <v>0</v>
      </c>
      <c r="P988" s="403"/>
      <c r="Q988" s="152">
        <f t="shared" si="277"/>
        <v>0</v>
      </c>
      <c r="R988" s="152">
        <f t="shared" si="277"/>
        <v>0</v>
      </c>
      <c r="S988" s="402">
        <f t="shared" si="278"/>
        <v>0</v>
      </c>
      <c r="T988" s="404">
        <f t="shared" si="279"/>
        <v>0</v>
      </c>
      <c r="U988" s="403"/>
      <c r="W988" s="43" t="str">
        <f t="shared" si="273"/>
        <v/>
      </c>
      <c r="X988" s="43" t="str">
        <f t="shared" si="264"/>
        <v/>
      </c>
      <c r="Y988" s="43" t="str">
        <f t="shared" si="265"/>
        <v/>
      </c>
    </row>
    <row r="989" spans="1:25" hidden="1">
      <c r="A989" s="155">
        <v>633100</v>
      </c>
      <c r="B989" s="156" t="s">
        <v>242</v>
      </c>
      <c r="C989" s="343" t="s">
        <v>1074</v>
      </c>
      <c r="D989" s="448"/>
      <c r="E989" s="182"/>
      <c r="F989" s="161"/>
      <c r="G989" s="162"/>
      <c r="H989" s="465">
        <v>118.86</v>
      </c>
      <c r="I989" s="465">
        <f t="shared" si="281"/>
        <v>118.86</v>
      </c>
      <c r="J989" s="407">
        <f t="shared" si="282"/>
        <v>138.83000000000001</v>
      </c>
      <c r="K989" s="408" t="s">
        <v>20</v>
      </c>
      <c r="L989" s="152">
        <v>0</v>
      </c>
      <c r="M989" s="152"/>
      <c r="N989" s="402">
        <f t="shared" si="275"/>
        <v>0</v>
      </c>
      <c r="O989" s="402">
        <f t="shared" si="276"/>
        <v>0</v>
      </c>
      <c r="P989" s="403"/>
      <c r="Q989" s="152">
        <f t="shared" si="277"/>
        <v>0</v>
      </c>
      <c r="R989" s="152">
        <f t="shared" si="277"/>
        <v>0</v>
      </c>
      <c r="S989" s="402">
        <f t="shared" si="278"/>
        <v>0</v>
      </c>
      <c r="T989" s="404">
        <f t="shared" si="279"/>
        <v>0</v>
      </c>
      <c r="U989" s="403"/>
      <c r="W989" s="43" t="str">
        <f t="shared" si="273"/>
        <v/>
      </c>
      <c r="X989" s="43" t="str">
        <f t="shared" si="264"/>
        <v/>
      </c>
      <c r="Y989" s="43" t="str">
        <f t="shared" si="265"/>
        <v/>
      </c>
    </row>
    <row r="990" spans="1:25" hidden="1">
      <c r="A990" s="155">
        <v>633200</v>
      </c>
      <c r="B990" s="156" t="s">
        <v>242</v>
      </c>
      <c r="C990" s="343" t="s">
        <v>1075</v>
      </c>
      <c r="D990" s="448"/>
      <c r="E990" s="182"/>
      <c r="F990" s="161"/>
      <c r="G990" s="162"/>
      <c r="H990" s="465">
        <v>178.29</v>
      </c>
      <c r="I990" s="465">
        <f t="shared" si="281"/>
        <v>178.29</v>
      </c>
      <c r="J990" s="407">
        <f t="shared" si="282"/>
        <v>208.24</v>
      </c>
      <c r="K990" s="408" t="s">
        <v>20</v>
      </c>
      <c r="L990" s="152">
        <v>0</v>
      </c>
      <c r="M990" s="152"/>
      <c r="N990" s="402">
        <f t="shared" si="275"/>
        <v>0</v>
      </c>
      <c r="O990" s="402">
        <f t="shared" si="276"/>
        <v>0</v>
      </c>
      <c r="P990" s="403"/>
      <c r="Q990" s="152">
        <f t="shared" si="277"/>
        <v>0</v>
      </c>
      <c r="R990" s="152">
        <f t="shared" si="277"/>
        <v>0</v>
      </c>
      <c r="S990" s="402">
        <f t="shared" si="278"/>
        <v>0</v>
      </c>
      <c r="T990" s="404">
        <f t="shared" si="279"/>
        <v>0</v>
      </c>
      <c r="U990" s="403"/>
      <c r="W990" s="43" t="str">
        <f t="shared" si="273"/>
        <v/>
      </c>
      <c r="X990" s="43" t="str">
        <f t="shared" si="264"/>
        <v/>
      </c>
      <c r="Y990" s="43" t="str">
        <f t="shared" si="265"/>
        <v/>
      </c>
    </row>
    <row r="991" spans="1:25" hidden="1">
      <c r="A991" s="155">
        <v>630300</v>
      </c>
      <c r="B991" s="156" t="s">
        <v>242</v>
      </c>
      <c r="C991" s="411" t="s">
        <v>434</v>
      </c>
      <c r="D991" s="351"/>
      <c r="E991" s="405"/>
      <c r="F991" s="406"/>
      <c r="G991" s="158"/>
      <c r="H991" s="465">
        <v>8.86</v>
      </c>
      <c r="I991" s="465">
        <f t="shared" si="280"/>
        <v>8.86</v>
      </c>
      <c r="J991" s="407">
        <f t="shared" si="274"/>
        <v>11.23</v>
      </c>
      <c r="K991" s="408" t="s">
        <v>20</v>
      </c>
      <c r="L991" s="152">
        <v>0</v>
      </c>
      <c r="M991" s="152"/>
      <c r="N991" s="402">
        <f t="shared" si="275"/>
        <v>0</v>
      </c>
      <c r="O991" s="402">
        <f t="shared" si="276"/>
        <v>0</v>
      </c>
      <c r="P991" s="403"/>
      <c r="Q991" s="152">
        <f t="shared" si="277"/>
        <v>0</v>
      </c>
      <c r="R991" s="152">
        <f t="shared" si="277"/>
        <v>0</v>
      </c>
      <c r="S991" s="402">
        <f t="shared" si="278"/>
        <v>0</v>
      </c>
      <c r="T991" s="404">
        <f t="shared" si="279"/>
        <v>0</v>
      </c>
      <c r="U991" s="403"/>
      <c r="W991" s="43" t="str">
        <f t="shared" si="273"/>
        <v/>
      </c>
      <c r="X991" s="43" t="str">
        <f t="shared" si="264"/>
        <v/>
      </c>
      <c r="Y991" s="43" t="str">
        <f t="shared" si="265"/>
        <v/>
      </c>
    </row>
    <row r="992" spans="1:25" hidden="1">
      <c r="A992" s="155">
        <v>630400</v>
      </c>
      <c r="B992" s="156" t="s">
        <v>242</v>
      </c>
      <c r="C992" s="347" t="s">
        <v>435</v>
      </c>
      <c r="D992" s="351"/>
      <c r="E992" s="405"/>
      <c r="F992" s="406"/>
      <c r="G992" s="158"/>
      <c r="H992" s="465">
        <v>11.08</v>
      </c>
      <c r="I992" s="465">
        <f t="shared" si="280"/>
        <v>11.08</v>
      </c>
      <c r="J992" s="407">
        <f t="shared" si="274"/>
        <v>14.05</v>
      </c>
      <c r="K992" s="408" t="s">
        <v>20</v>
      </c>
      <c r="L992" s="152">
        <v>0</v>
      </c>
      <c r="M992" s="152"/>
      <c r="N992" s="402">
        <f t="shared" si="275"/>
        <v>0</v>
      </c>
      <c r="O992" s="402">
        <f t="shared" si="276"/>
        <v>0</v>
      </c>
      <c r="P992" s="403"/>
      <c r="Q992" s="152">
        <f t="shared" si="277"/>
        <v>0</v>
      </c>
      <c r="R992" s="152">
        <f t="shared" si="277"/>
        <v>0</v>
      </c>
      <c r="S992" s="402">
        <f t="shared" si="278"/>
        <v>0</v>
      </c>
      <c r="T992" s="404">
        <f t="shared" si="279"/>
        <v>0</v>
      </c>
      <c r="U992" s="403"/>
      <c r="W992" s="43" t="str">
        <f t="shared" si="273"/>
        <v/>
      </c>
      <c r="X992" s="43" t="str">
        <f t="shared" si="264"/>
        <v/>
      </c>
      <c r="Y992" s="43" t="str">
        <f t="shared" si="265"/>
        <v/>
      </c>
    </row>
    <row r="993" spans="1:25" hidden="1">
      <c r="A993" s="155">
        <v>630500</v>
      </c>
      <c r="B993" s="156" t="s">
        <v>242</v>
      </c>
      <c r="C993" s="347" t="s">
        <v>436</v>
      </c>
      <c r="D993" s="351"/>
      <c r="E993" s="405"/>
      <c r="F993" s="406"/>
      <c r="G993" s="158"/>
      <c r="H993" s="465">
        <v>12.09</v>
      </c>
      <c r="I993" s="465">
        <f t="shared" si="280"/>
        <v>12.09</v>
      </c>
      <c r="J993" s="407">
        <f t="shared" si="274"/>
        <v>15.33</v>
      </c>
      <c r="K993" s="408" t="s">
        <v>20</v>
      </c>
      <c r="L993" s="152">
        <v>0</v>
      </c>
      <c r="M993" s="152"/>
      <c r="N993" s="402">
        <f t="shared" si="275"/>
        <v>0</v>
      </c>
      <c r="O993" s="402">
        <f t="shared" si="276"/>
        <v>0</v>
      </c>
      <c r="P993" s="403"/>
      <c r="Q993" s="152">
        <f t="shared" si="277"/>
        <v>0</v>
      </c>
      <c r="R993" s="152">
        <f t="shared" si="277"/>
        <v>0</v>
      </c>
      <c r="S993" s="402">
        <f t="shared" si="278"/>
        <v>0</v>
      </c>
      <c r="T993" s="404">
        <f t="shared" si="279"/>
        <v>0</v>
      </c>
      <c r="U993" s="403"/>
      <c r="W993" s="43" t="str">
        <f t="shared" si="273"/>
        <v/>
      </c>
      <c r="X993" s="43" t="str">
        <f t="shared" si="264"/>
        <v/>
      </c>
      <c r="Y993" s="43" t="str">
        <f t="shared" si="265"/>
        <v/>
      </c>
    </row>
    <row r="994" spans="1:25" hidden="1">
      <c r="A994" s="155">
        <v>630600</v>
      </c>
      <c r="B994" s="156" t="s">
        <v>242</v>
      </c>
      <c r="C994" s="347" t="s">
        <v>437</v>
      </c>
      <c r="D994" s="351"/>
      <c r="E994" s="405"/>
      <c r="F994" s="406"/>
      <c r="G994" s="158"/>
      <c r="H994" s="465">
        <v>13.3</v>
      </c>
      <c r="I994" s="465">
        <f t="shared" si="280"/>
        <v>13.3</v>
      </c>
      <c r="J994" s="407">
        <f t="shared" si="274"/>
        <v>16.86</v>
      </c>
      <c r="K994" s="408" t="s">
        <v>20</v>
      </c>
      <c r="L994" s="152">
        <v>0</v>
      </c>
      <c r="M994" s="152"/>
      <c r="N994" s="402">
        <f t="shared" si="275"/>
        <v>0</v>
      </c>
      <c r="O994" s="402">
        <f t="shared" si="276"/>
        <v>0</v>
      </c>
      <c r="P994" s="403"/>
      <c r="Q994" s="152">
        <f t="shared" si="277"/>
        <v>0</v>
      </c>
      <c r="R994" s="152">
        <f t="shared" si="277"/>
        <v>0</v>
      </c>
      <c r="S994" s="402">
        <f t="shared" si="278"/>
        <v>0</v>
      </c>
      <c r="T994" s="404">
        <f t="shared" si="279"/>
        <v>0</v>
      </c>
      <c r="U994" s="403"/>
      <c r="W994" s="43" t="str">
        <f t="shared" si="273"/>
        <v/>
      </c>
      <c r="X994" s="43" t="str">
        <f t="shared" si="264"/>
        <v/>
      </c>
      <c r="Y994" s="43" t="str">
        <f t="shared" si="265"/>
        <v/>
      </c>
    </row>
    <row r="995" spans="1:25" hidden="1">
      <c r="A995" s="155">
        <v>630800</v>
      </c>
      <c r="B995" s="156" t="s">
        <v>242</v>
      </c>
      <c r="C995" s="411" t="s">
        <v>438</v>
      </c>
      <c r="D995" s="351"/>
      <c r="E995" s="405"/>
      <c r="F995" s="406"/>
      <c r="G995" s="158"/>
      <c r="H995" s="465">
        <v>26.6</v>
      </c>
      <c r="I995" s="465">
        <f t="shared" si="280"/>
        <v>26.6</v>
      </c>
      <c r="J995" s="407">
        <f t="shared" si="274"/>
        <v>33.729999999999997</v>
      </c>
      <c r="K995" s="408" t="s">
        <v>20</v>
      </c>
      <c r="L995" s="152">
        <v>0</v>
      </c>
      <c r="M995" s="152"/>
      <c r="N995" s="402">
        <f t="shared" si="275"/>
        <v>0</v>
      </c>
      <c r="O995" s="402">
        <f t="shared" si="276"/>
        <v>0</v>
      </c>
      <c r="P995" s="403"/>
      <c r="Q995" s="152">
        <f t="shared" si="277"/>
        <v>0</v>
      </c>
      <c r="R995" s="152">
        <f t="shared" si="277"/>
        <v>0</v>
      </c>
      <c r="S995" s="402">
        <f t="shared" si="278"/>
        <v>0</v>
      </c>
      <c r="T995" s="404">
        <f t="shared" si="279"/>
        <v>0</v>
      </c>
      <c r="U995" s="403"/>
      <c r="W995" s="43" t="str">
        <f t="shared" si="273"/>
        <v/>
      </c>
      <c r="X995" s="43" t="str">
        <f t="shared" si="264"/>
        <v/>
      </c>
      <c r="Y995" s="43" t="str">
        <f t="shared" si="265"/>
        <v/>
      </c>
    </row>
    <row r="996" spans="1:25" hidden="1">
      <c r="A996" s="155">
        <v>631000</v>
      </c>
      <c r="B996" s="156" t="s">
        <v>242</v>
      </c>
      <c r="C996" s="411" t="s">
        <v>439</v>
      </c>
      <c r="D996" s="351"/>
      <c r="E996" s="405"/>
      <c r="F996" s="406"/>
      <c r="G996" s="158"/>
      <c r="H996" s="465">
        <v>28.42</v>
      </c>
      <c r="I996" s="465">
        <f t="shared" si="280"/>
        <v>28.42</v>
      </c>
      <c r="J996" s="407">
        <f t="shared" si="274"/>
        <v>36.04</v>
      </c>
      <c r="K996" s="408" t="s">
        <v>20</v>
      </c>
      <c r="L996" s="152">
        <v>0</v>
      </c>
      <c r="M996" s="152"/>
      <c r="N996" s="402">
        <f t="shared" si="275"/>
        <v>0</v>
      </c>
      <c r="O996" s="402">
        <f t="shared" si="276"/>
        <v>0</v>
      </c>
      <c r="P996" s="403"/>
      <c r="Q996" s="152">
        <f t="shared" si="277"/>
        <v>0</v>
      </c>
      <c r="R996" s="152">
        <f t="shared" si="277"/>
        <v>0</v>
      </c>
      <c r="S996" s="402">
        <f t="shared" si="278"/>
        <v>0</v>
      </c>
      <c r="T996" s="404">
        <f t="shared" si="279"/>
        <v>0</v>
      </c>
      <c r="U996" s="403"/>
      <c r="W996" s="43" t="str">
        <f t="shared" si="273"/>
        <v/>
      </c>
      <c r="X996" s="43" t="str">
        <f t="shared" si="264"/>
        <v/>
      </c>
      <c r="Y996" s="43" t="str">
        <f t="shared" si="265"/>
        <v/>
      </c>
    </row>
    <row r="997" spans="1:25" hidden="1">
      <c r="A997" s="155">
        <v>631200</v>
      </c>
      <c r="B997" s="156" t="s">
        <v>242</v>
      </c>
      <c r="C997" s="411" t="s">
        <v>440</v>
      </c>
      <c r="D997" s="351"/>
      <c r="E997" s="405"/>
      <c r="F997" s="406"/>
      <c r="G997" s="158"/>
      <c r="H997" s="465">
        <v>34.11</v>
      </c>
      <c r="I997" s="465">
        <f t="shared" si="280"/>
        <v>34.11</v>
      </c>
      <c r="J997" s="407">
        <f t="shared" si="274"/>
        <v>43.25</v>
      </c>
      <c r="K997" s="408" t="s">
        <v>20</v>
      </c>
      <c r="L997" s="152">
        <v>0</v>
      </c>
      <c r="M997" s="152"/>
      <c r="N997" s="402">
        <f t="shared" si="275"/>
        <v>0</v>
      </c>
      <c r="O997" s="402">
        <f t="shared" si="276"/>
        <v>0</v>
      </c>
      <c r="P997" s="403"/>
      <c r="Q997" s="152">
        <f t="shared" si="277"/>
        <v>0</v>
      </c>
      <c r="R997" s="152">
        <f t="shared" si="277"/>
        <v>0</v>
      </c>
      <c r="S997" s="402">
        <f t="shared" si="278"/>
        <v>0</v>
      </c>
      <c r="T997" s="404">
        <f t="shared" si="279"/>
        <v>0</v>
      </c>
      <c r="U997" s="403"/>
      <c r="W997" s="43" t="str">
        <f t="shared" si="273"/>
        <v/>
      </c>
      <c r="X997" s="43" t="str">
        <f t="shared" si="264"/>
        <v/>
      </c>
      <c r="Y997" s="43" t="str">
        <f t="shared" si="265"/>
        <v/>
      </c>
    </row>
    <row r="998" spans="1:25" hidden="1">
      <c r="A998" s="155">
        <v>631500</v>
      </c>
      <c r="B998" s="156" t="s">
        <v>242</v>
      </c>
      <c r="C998" s="411" t="s">
        <v>441</v>
      </c>
      <c r="D998" s="351"/>
      <c r="E998" s="405"/>
      <c r="F998" s="406"/>
      <c r="G998" s="158"/>
      <c r="H998" s="465">
        <v>42.64</v>
      </c>
      <c r="I998" s="465">
        <f t="shared" si="280"/>
        <v>42.64</v>
      </c>
      <c r="J998" s="407">
        <f t="shared" si="274"/>
        <v>54.07</v>
      </c>
      <c r="K998" s="408" t="s">
        <v>20</v>
      </c>
      <c r="L998" s="152">
        <v>0</v>
      </c>
      <c r="M998" s="152"/>
      <c r="N998" s="402">
        <f t="shared" si="275"/>
        <v>0</v>
      </c>
      <c r="O998" s="402">
        <f t="shared" si="276"/>
        <v>0</v>
      </c>
      <c r="P998" s="403"/>
      <c r="Q998" s="152">
        <f t="shared" si="277"/>
        <v>0</v>
      </c>
      <c r="R998" s="152">
        <f t="shared" si="277"/>
        <v>0</v>
      </c>
      <c r="S998" s="402">
        <f t="shared" si="278"/>
        <v>0</v>
      </c>
      <c r="T998" s="404">
        <f t="shared" si="279"/>
        <v>0</v>
      </c>
      <c r="U998" s="403"/>
      <c r="W998" s="43" t="str">
        <f t="shared" si="273"/>
        <v/>
      </c>
      <c r="X998" s="43" t="str">
        <f t="shared" si="264"/>
        <v/>
      </c>
      <c r="Y998" s="43" t="str">
        <f t="shared" si="265"/>
        <v/>
      </c>
    </row>
    <row r="999" spans="1:25" hidden="1">
      <c r="A999" s="155">
        <v>860000</v>
      </c>
      <c r="B999" s="156" t="s">
        <v>242</v>
      </c>
      <c r="C999" s="411" t="s">
        <v>442</v>
      </c>
      <c r="D999" s="351"/>
      <c r="E999" s="405"/>
      <c r="F999" s="406"/>
      <c r="G999" s="158">
        <f>SUM(G1000:G1001)</f>
        <v>27.942925000000002</v>
      </c>
      <c r="H999" s="465">
        <v>470.57</v>
      </c>
      <c r="I999" s="465">
        <f>IF(ISBLANK(H999),"",SUM(G999:H999))*0.95</f>
        <v>473.58727875</v>
      </c>
      <c r="J999" s="407">
        <f t="shared" si="274"/>
        <v>600.51</v>
      </c>
      <c r="K999" s="408" t="s">
        <v>16</v>
      </c>
      <c r="L999" s="152">
        <v>0</v>
      </c>
      <c r="M999" s="152"/>
      <c r="N999" s="402">
        <f t="shared" si="275"/>
        <v>0</v>
      </c>
      <c r="O999" s="402">
        <f t="shared" si="276"/>
        <v>0</v>
      </c>
      <c r="P999" s="403"/>
      <c r="Q999" s="152">
        <f t="shared" si="277"/>
        <v>0</v>
      </c>
      <c r="R999" s="152">
        <f t="shared" si="277"/>
        <v>0</v>
      </c>
      <c r="S999" s="402">
        <f t="shared" si="278"/>
        <v>0</v>
      </c>
      <c r="T999" s="404">
        <f t="shared" si="279"/>
        <v>0</v>
      </c>
      <c r="U999" s="403"/>
      <c r="W999" s="43" t="str">
        <f t="shared" si="273"/>
        <v/>
      </c>
      <c r="X999" s="43" t="str">
        <f t="shared" si="264"/>
        <v/>
      </c>
      <c r="Y999" s="43" t="str">
        <f t="shared" si="265"/>
        <v/>
      </c>
    </row>
    <row r="1000" spans="1:25" hidden="1">
      <c r="A1000" s="155" t="s">
        <v>183</v>
      </c>
      <c r="B1000" s="156"/>
      <c r="C1000" s="348" t="s">
        <v>443</v>
      </c>
      <c r="D1000" s="157"/>
      <c r="E1000" s="405">
        <v>20</v>
      </c>
      <c r="F1000" s="406">
        <v>8.8999999999999999E-3</v>
      </c>
      <c r="G1000" s="412">
        <f>IF(E1000&lt;=30,(0.6*E1000+1.25)*F1000,((0.6*30+1.25)+0.5*(E1000-30))*F1000)</f>
        <v>0.117925</v>
      </c>
      <c r="H1000" s="465"/>
      <c r="I1000" s="465"/>
      <c r="J1000" s="407">
        <f t="shared" si="274"/>
        <v>0</v>
      </c>
      <c r="K1000" s="394" t="s">
        <v>1029</v>
      </c>
      <c r="L1000" s="152">
        <v>0</v>
      </c>
      <c r="M1000" s="213"/>
      <c r="N1000" s="402">
        <f t="shared" si="275"/>
        <v>0</v>
      </c>
      <c r="O1000" s="402">
        <f t="shared" si="276"/>
        <v>0</v>
      </c>
      <c r="P1000" s="403"/>
      <c r="Q1000" s="212"/>
      <c r="R1000" s="213"/>
      <c r="S1000" s="402">
        <f t="shared" si="278"/>
        <v>0</v>
      </c>
      <c r="T1000" s="404">
        <f t="shared" si="279"/>
        <v>0</v>
      </c>
      <c r="U1000" s="403"/>
      <c r="V1000" s="144" t="str">
        <f>IF(T999&gt;0,"xx",IF(O999&gt;0,"xy",""))</f>
        <v/>
      </c>
      <c r="W1000" s="43" t="str">
        <f t="shared" si="273"/>
        <v/>
      </c>
      <c r="X1000" s="43" t="str">
        <f t="shared" si="264"/>
        <v/>
      </c>
      <c r="Y1000" s="43" t="str">
        <f t="shared" si="265"/>
        <v/>
      </c>
    </row>
    <row r="1001" spans="1:25" hidden="1">
      <c r="A1001" s="155" t="s">
        <v>183</v>
      </c>
      <c r="B1001" s="156"/>
      <c r="C1001" s="348" t="s">
        <v>323</v>
      </c>
      <c r="D1001" s="157"/>
      <c r="E1001" s="405">
        <v>20</v>
      </c>
      <c r="F1001" s="406">
        <v>2.1</v>
      </c>
      <c r="G1001" s="412">
        <f>IF(E1001&lt;=30,(0.6*E1001+1.25)*F1001,((0.6*30+1.25)+0.5*(E1001-30))*F1001)</f>
        <v>27.825000000000003</v>
      </c>
      <c r="H1001" s="465"/>
      <c r="I1001" s="465"/>
      <c r="J1001" s="407">
        <f t="shared" si="274"/>
        <v>0</v>
      </c>
      <c r="K1001" s="394" t="s">
        <v>1029</v>
      </c>
      <c r="L1001" s="152">
        <v>0</v>
      </c>
      <c r="M1001" s="213"/>
      <c r="N1001" s="402">
        <f t="shared" si="275"/>
        <v>0</v>
      </c>
      <c r="O1001" s="402">
        <f t="shared" si="276"/>
        <v>0</v>
      </c>
      <c r="P1001" s="403"/>
      <c r="Q1001" s="212"/>
      <c r="R1001" s="213"/>
      <c r="S1001" s="402">
        <f t="shared" si="278"/>
        <v>0</v>
      </c>
      <c r="T1001" s="404">
        <f t="shared" si="279"/>
        <v>0</v>
      </c>
      <c r="U1001" s="403"/>
      <c r="V1001" s="144" t="str">
        <f>IF(T999&gt;0,"xx",IF(O999&gt;0,"xy",""))</f>
        <v/>
      </c>
      <c r="W1001" s="43" t="str">
        <f t="shared" si="273"/>
        <v/>
      </c>
      <c r="X1001" s="43" t="str">
        <f t="shared" si="264"/>
        <v/>
      </c>
      <c r="Y1001" s="43" t="str">
        <f t="shared" si="265"/>
        <v/>
      </c>
    </row>
    <row r="1002" spans="1:25" hidden="1">
      <c r="A1002" s="155">
        <v>712200</v>
      </c>
      <c r="B1002" s="156" t="s">
        <v>242</v>
      </c>
      <c r="C1002" s="411" t="s">
        <v>444</v>
      </c>
      <c r="D1002" s="157"/>
      <c r="E1002" s="405"/>
      <c r="F1002" s="406"/>
      <c r="G1002" s="158">
        <f t="shared" ref="G1002" si="283">IF(E1002&lt;=30,(0.31*E1002+0.77)*F1002,((0.31*30+0.77)+0.31*(E1002-30))*F1002)</f>
        <v>0</v>
      </c>
      <c r="H1002" s="465">
        <v>48.54</v>
      </c>
      <c r="I1002" s="465">
        <f>IF(ISBLANK(H1002),"",SUM(G1002:H1002))</f>
        <v>48.54</v>
      </c>
      <c r="J1002" s="407">
        <f t="shared" ref="J1002:J1005" si="284">IF(ISBLANK(H1002),0,ROUND(I1002*(1+$E$9)*(1+$E$10*D1002),2))</f>
        <v>56.69</v>
      </c>
      <c r="K1002" s="408" t="s">
        <v>16</v>
      </c>
      <c r="L1002" s="152">
        <v>0</v>
      </c>
      <c r="M1002" s="152"/>
      <c r="N1002" s="402">
        <f t="shared" si="275"/>
        <v>0</v>
      </c>
      <c r="O1002" s="402">
        <f t="shared" si="276"/>
        <v>0</v>
      </c>
      <c r="P1002" s="403"/>
      <c r="Q1002" s="152">
        <f t="shared" si="277"/>
        <v>0</v>
      </c>
      <c r="R1002" s="152">
        <f t="shared" si="277"/>
        <v>0</v>
      </c>
      <c r="S1002" s="402">
        <f t="shared" si="278"/>
        <v>0</v>
      </c>
      <c r="T1002" s="404">
        <f t="shared" si="279"/>
        <v>0</v>
      </c>
      <c r="U1002" s="403"/>
      <c r="V1002" s="144"/>
      <c r="W1002" s="43" t="str">
        <f t="shared" si="273"/>
        <v/>
      </c>
      <c r="X1002" s="43" t="str">
        <f t="shared" si="264"/>
        <v/>
      </c>
      <c r="Y1002" s="43" t="str">
        <f t="shared" si="265"/>
        <v/>
      </c>
    </row>
    <row r="1003" spans="1:25" hidden="1">
      <c r="A1003" s="155">
        <v>601100</v>
      </c>
      <c r="B1003" s="156" t="s">
        <v>242</v>
      </c>
      <c r="C1003" s="411" t="s">
        <v>445</v>
      </c>
      <c r="D1003" s="157"/>
      <c r="E1003" s="405"/>
      <c r="F1003" s="406"/>
      <c r="G1003" s="158">
        <f>IF(E1003&lt;=30,(0.31*E1003+0.77)*F1003,((0.31*30+0.77)+0.31*(E1003-30))*F1003)</f>
        <v>0</v>
      </c>
      <c r="H1003" s="465">
        <v>38.89</v>
      </c>
      <c r="I1003" s="465">
        <f t="shared" ref="I1003" si="285">IF(ISBLANK(H1003),"",SUM(G1003:H1003))</f>
        <v>38.89</v>
      </c>
      <c r="J1003" s="407">
        <f t="shared" si="284"/>
        <v>45.42</v>
      </c>
      <c r="K1003" s="408" t="s">
        <v>16</v>
      </c>
      <c r="L1003" s="152">
        <v>0</v>
      </c>
      <c r="M1003" s="152"/>
      <c r="N1003" s="402">
        <f t="shared" si="275"/>
        <v>0</v>
      </c>
      <c r="O1003" s="402">
        <f t="shared" si="276"/>
        <v>0</v>
      </c>
      <c r="P1003" s="403"/>
      <c r="Q1003" s="152">
        <f t="shared" si="277"/>
        <v>0</v>
      </c>
      <c r="R1003" s="152">
        <f t="shared" si="277"/>
        <v>0</v>
      </c>
      <c r="S1003" s="402">
        <f t="shared" si="278"/>
        <v>0</v>
      </c>
      <c r="T1003" s="404">
        <f t="shared" si="279"/>
        <v>0</v>
      </c>
      <c r="U1003" s="403"/>
      <c r="V1003" s="144"/>
      <c r="W1003" s="43" t="str">
        <f t="shared" si="273"/>
        <v/>
      </c>
      <c r="X1003" s="43" t="str">
        <f t="shared" si="264"/>
        <v/>
      </c>
      <c r="Y1003" s="43" t="str">
        <f t="shared" si="265"/>
        <v/>
      </c>
    </row>
    <row r="1004" spans="1:25">
      <c r="A1004" s="155">
        <v>601200</v>
      </c>
      <c r="B1004" s="156" t="s">
        <v>242</v>
      </c>
      <c r="C1004" s="411" t="s">
        <v>446</v>
      </c>
      <c r="D1004" s="157"/>
      <c r="E1004" s="405"/>
      <c r="F1004" s="406"/>
      <c r="G1004" s="158">
        <f t="shared" ref="G1004:G1005" si="286">IF(E1004&lt;=30,(0.31*E1004+0.77)*F1004,((0.31*30+0.77)+0.31*(E1004-30))*F1004)</f>
        <v>0</v>
      </c>
      <c r="H1004" s="465">
        <v>24.63</v>
      </c>
      <c r="I1004" s="465">
        <f>IF(ISBLANK(H1004),"",SUM(G1004:H1004))*0.9</f>
        <v>22.166999999999998</v>
      </c>
      <c r="J1004" s="407">
        <f t="shared" si="284"/>
        <v>25.89</v>
      </c>
      <c r="K1004" s="408" t="s">
        <v>16</v>
      </c>
      <c r="L1004" s="152">
        <v>280.23</v>
      </c>
      <c r="M1004" s="152">
        <v>25</v>
      </c>
      <c r="N1004" s="402">
        <f t="shared" si="275"/>
        <v>7255.15</v>
      </c>
      <c r="O1004" s="402">
        <f t="shared" si="276"/>
        <v>7005.75</v>
      </c>
      <c r="P1004" s="403"/>
      <c r="Q1004" s="471">
        <f t="shared" si="277"/>
        <v>280.23</v>
      </c>
      <c r="R1004" s="152">
        <v>25</v>
      </c>
      <c r="S1004" s="402">
        <f t="shared" si="278"/>
        <v>7255.15</v>
      </c>
      <c r="T1004" s="404">
        <f t="shared" si="279"/>
        <v>7005.75</v>
      </c>
      <c r="U1004" s="403"/>
      <c r="V1004" s="160" t="s">
        <v>200</v>
      </c>
      <c r="W1004" s="43" t="str">
        <f t="shared" si="273"/>
        <v>x</v>
      </c>
      <c r="X1004" s="43" t="str">
        <f t="shared" si="264"/>
        <v>x</v>
      </c>
      <c r="Y1004" s="43" t="str">
        <f t="shared" si="265"/>
        <v>x</v>
      </c>
    </row>
    <row r="1005" spans="1:25">
      <c r="A1005" s="155" t="s">
        <v>25</v>
      </c>
      <c r="B1005" s="156" t="s">
        <v>242</v>
      </c>
      <c r="C1005" s="411" t="s">
        <v>447</v>
      </c>
      <c r="D1005" s="157"/>
      <c r="E1005" s="405"/>
      <c r="F1005" s="406"/>
      <c r="G1005" s="158">
        <f t="shared" si="286"/>
        <v>0</v>
      </c>
      <c r="H1005" s="465">
        <v>14.78</v>
      </c>
      <c r="I1005" s="465">
        <f>IF(ISBLANK(H1005),"",SUM(G1005:H1005))*0.9</f>
        <v>13.302</v>
      </c>
      <c r="J1005" s="407">
        <f t="shared" si="284"/>
        <v>15.54</v>
      </c>
      <c r="K1005" s="408" t="s">
        <v>16</v>
      </c>
      <c r="L1005" s="152">
        <v>653.85</v>
      </c>
      <c r="M1005" s="152">
        <v>15</v>
      </c>
      <c r="N1005" s="402">
        <f t="shared" si="275"/>
        <v>10160.83</v>
      </c>
      <c r="O1005" s="402">
        <f t="shared" si="276"/>
        <v>9807.75</v>
      </c>
      <c r="P1005" s="403"/>
      <c r="Q1005" s="471">
        <f t="shared" si="277"/>
        <v>653.85</v>
      </c>
      <c r="R1005" s="152">
        <v>15</v>
      </c>
      <c r="S1005" s="402">
        <f t="shared" si="278"/>
        <v>10160.83</v>
      </c>
      <c r="T1005" s="404">
        <f t="shared" si="279"/>
        <v>9807.75</v>
      </c>
      <c r="U1005" s="403"/>
      <c r="V1005" s="160" t="s">
        <v>200</v>
      </c>
      <c r="W1005" s="43" t="str">
        <f t="shared" si="273"/>
        <v>x</v>
      </c>
      <c r="X1005" s="43" t="str">
        <f t="shared" si="264"/>
        <v>x</v>
      </c>
      <c r="Y1005" s="43" t="str">
        <f t="shared" si="265"/>
        <v>x</v>
      </c>
    </row>
    <row r="1006" spans="1:25" hidden="1">
      <c r="A1006" s="155">
        <v>606500</v>
      </c>
      <c r="B1006" s="156" t="s">
        <v>242</v>
      </c>
      <c r="C1006" s="411" t="s">
        <v>655</v>
      </c>
      <c r="D1006" s="351"/>
      <c r="E1006" s="405"/>
      <c r="F1006" s="406"/>
      <c r="G1006" s="158"/>
      <c r="H1006" s="465">
        <v>131.30000000000001</v>
      </c>
      <c r="I1006" s="465">
        <f>IF(ISBLANK(H1006),"",SUM(G1006:H1006))*0.9</f>
        <v>118.17000000000002</v>
      </c>
      <c r="J1006" s="407">
        <f t="shared" si="274"/>
        <v>149.84</v>
      </c>
      <c r="K1006" s="408" t="s">
        <v>16</v>
      </c>
      <c r="L1006" s="152">
        <v>0</v>
      </c>
      <c r="M1006" s="152"/>
      <c r="N1006" s="402">
        <f t="shared" si="275"/>
        <v>0</v>
      </c>
      <c r="O1006" s="402">
        <f t="shared" si="276"/>
        <v>0</v>
      </c>
      <c r="P1006" s="403"/>
      <c r="Q1006" s="152">
        <f t="shared" si="277"/>
        <v>0</v>
      </c>
      <c r="R1006" s="152">
        <f t="shared" si="277"/>
        <v>0</v>
      </c>
      <c r="S1006" s="402">
        <f t="shared" si="278"/>
        <v>0</v>
      </c>
      <c r="T1006" s="404">
        <f t="shared" si="279"/>
        <v>0</v>
      </c>
      <c r="U1006" s="403"/>
      <c r="W1006" s="43" t="str">
        <f t="shared" si="273"/>
        <v/>
      </c>
      <c r="X1006" s="43" t="str">
        <f t="shared" si="264"/>
        <v/>
      </c>
      <c r="Y1006" s="43" t="str">
        <f t="shared" si="265"/>
        <v/>
      </c>
    </row>
    <row r="1007" spans="1:25" hidden="1">
      <c r="A1007" s="155">
        <v>606700</v>
      </c>
      <c r="B1007" s="156" t="s">
        <v>242</v>
      </c>
      <c r="C1007" s="411" t="s">
        <v>234</v>
      </c>
      <c r="D1007" s="351"/>
      <c r="E1007" s="405"/>
      <c r="F1007" s="406"/>
      <c r="G1007" s="158">
        <f>IF(E1007&lt;=30,(0.31*E1007+0.77)*F1007,((0.31*30+0.77)+0.31*(E1007-30))*F1007)</f>
        <v>0</v>
      </c>
      <c r="H1007" s="465">
        <v>94.29</v>
      </c>
      <c r="I1007" s="465">
        <f t="shared" ref="I1007:I1010" si="287">IF(ISBLANK(H1007),"",SUM(G1007:H1007))</f>
        <v>94.29</v>
      </c>
      <c r="J1007" s="407">
        <f t="shared" si="274"/>
        <v>119.56</v>
      </c>
      <c r="K1007" s="408" t="s">
        <v>16</v>
      </c>
      <c r="L1007" s="152">
        <v>0</v>
      </c>
      <c r="M1007" s="152"/>
      <c r="N1007" s="402">
        <f t="shared" si="275"/>
        <v>0</v>
      </c>
      <c r="O1007" s="402">
        <f t="shared" si="276"/>
        <v>0</v>
      </c>
      <c r="P1007" s="403"/>
      <c r="Q1007" s="152">
        <f t="shared" si="277"/>
        <v>0</v>
      </c>
      <c r="R1007" s="152">
        <f t="shared" si="277"/>
        <v>0</v>
      </c>
      <c r="S1007" s="402">
        <f t="shared" si="278"/>
        <v>0</v>
      </c>
      <c r="T1007" s="404">
        <f t="shared" si="279"/>
        <v>0</v>
      </c>
      <c r="U1007" s="403"/>
      <c r="W1007" s="43" t="str">
        <f t="shared" si="273"/>
        <v/>
      </c>
      <c r="X1007" s="43" t="str">
        <f t="shared" si="264"/>
        <v/>
      </c>
      <c r="Y1007" s="43" t="str">
        <f t="shared" si="265"/>
        <v/>
      </c>
    </row>
    <row r="1008" spans="1:25" hidden="1">
      <c r="A1008" s="155">
        <v>606600</v>
      </c>
      <c r="B1008" s="156" t="s">
        <v>242</v>
      </c>
      <c r="C1008" s="411" t="s">
        <v>235</v>
      </c>
      <c r="D1008" s="351"/>
      <c r="E1008" s="405"/>
      <c r="F1008" s="406"/>
      <c r="G1008" s="158">
        <f>IF(E1008&lt;=30,(0.31*E1008+0.77)*F1008,((0.31*30+0.77)+0.31*(E1008-30))*F1008)</f>
        <v>0</v>
      </c>
      <c r="H1008" s="465">
        <v>198.35</v>
      </c>
      <c r="I1008" s="465">
        <f t="shared" si="287"/>
        <v>198.35</v>
      </c>
      <c r="J1008" s="407">
        <f t="shared" si="274"/>
        <v>251.51</v>
      </c>
      <c r="K1008" s="408" t="s">
        <v>16</v>
      </c>
      <c r="L1008" s="152">
        <v>0</v>
      </c>
      <c r="M1008" s="152"/>
      <c r="N1008" s="402">
        <f t="shared" si="275"/>
        <v>0</v>
      </c>
      <c r="O1008" s="402">
        <f t="shared" si="276"/>
        <v>0</v>
      </c>
      <c r="P1008" s="403"/>
      <c r="Q1008" s="152">
        <f t="shared" si="277"/>
        <v>0</v>
      </c>
      <c r="R1008" s="152">
        <f t="shared" si="277"/>
        <v>0</v>
      </c>
      <c r="S1008" s="402">
        <f t="shared" si="278"/>
        <v>0</v>
      </c>
      <c r="T1008" s="404">
        <f t="shared" si="279"/>
        <v>0</v>
      </c>
      <c r="U1008" s="403"/>
      <c r="W1008" s="43" t="str">
        <f t="shared" si="273"/>
        <v/>
      </c>
      <c r="X1008" s="43" t="str">
        <f t="shared" si="264"/>
        <v/>
      </c>
      <c r="Y1008" s="43" t="str">
        <f t="shared" si="265"/>
        <v/>
      </c>
    </row>
    <row r="1009" spans="1:25" hidden="1">
      <c r="A1009" s="155">
        <v>602100</v>
      </c>
      <c r="B1009" s="156" t="s">
        <v>242</v>
      </c>
      <c r="C1009" s="411" t="s">
        <v>367</v>
      </c>
      <c r="D1009" s="351"/>
      <c r="E1009" s="405"/>
      <c r="F1009" s="406"/>
      <c r="G1009" s="158">
        <f t="shared" ref="G1009:G1011" si="288">IF(E1009&lt;=30,(0.31*E1009+0.77)*F1009,((0.31*30+0.77)+0.31*(E1009-30))*F1009)</f>
        <v>0</v>
      </c>
      <c r="H1009" s="465">
        <v>70.16</v>
      </c>
      <c r="I1009" s="465">
        <f t="shared" si="287"/>
        <v>70.16</v>
      </c>
      <c r="J1009" s="407">
        <f t="shared" si="274"/>
        <v>88.96</v>
      </c>
      <c r="K1009" s="408" t="s">
        <v>18</v>
      </c>
      <c r="L1009" s="152">
        <v>0</v>
      </c>
      <c r="M1009" s="152"/>
      <c r="N1009" s="402">
        <f t="shared" si="275"/>
        <v>0</v>
      </c>
      <c r="O1009" s="402">
        <f t="shared" si="276"/>
        <v>0</v>
      </c>
      <c r="P1009" s="403"/>
      <c r="Q1009" s="152">
        <f t="shared" si="277"/>
        <v>0</v>
      </c>
      <c r="R1009" s="152">
        <f t="shared" si="277"/>
        <v>0</v>
      </c>
      <c r="S1009" s="402">
        <f t="shared" si="278"/>
        <v>0</v>
      </c>
      <c r="T1009" s="404">
        <f t="shared" si="279"/>
        <v>0</v>
      </c>
      <c r="U1009" s="403"/>
      <c r="W1009" s="43" t="str">
        <f t="shared" si="273"/>
        <v/>
      </c>
      <c r="X1009" s="43" t="str">
        <f t="shared" si="264"/>
        <v/>
      </c>
      <c r="Y1009" s="43" t="str">
        <f t="shared" si="265"/>
        <v/>
      </c>
    </row>
    <row r="1010" spans="1:25" hidden="1">
      <c r="A1010" s="155">
        <v>603000</v>
      </c>
      <c r="B1010" s="156" t="s">
        <v>242</v>
      </c>
      <c r="C1010" s="411" t="s">
        <v>368</v>
      </c>
      <c r="D1010" s="351"/>
      <c r="E1010" s="405"/>
      <c r="F1010" s="406"/>
      <c r="G1010" s="158">
        <f t="shared" si="288"/>
        <v>0</v>
      </c>
      <c r="H1010" s="465">
        <v>10.199999999999999</v>
      </c>
      <c r="I1010" s="465">
        <f t="shared" si="287"/>
        <v>10.199999999999999</v>
      </c>
      <c r="J1010" s="407">
        <f t="shared" si="274"/>
        <v>12.93</v>
      </c>
      <c r="K1010" s="408" t="s">
        <v>26</v>
      </c>
      <c r="L1010" s="152">
        <v>0</v>
      </c>
      <c r="M1010" s="152"/>
      <c r="N1010" s="402">
        <f t="shared" si="275"/>
        <v>0</v>
      </c>
      <c r="O1010" s="402">
        <f t="shared" si="276"/>
        <v>0</v>
      </c>
      <c r="P1010" s="403"/>
      <c r="Q1010" s="152">
        <f t="shared" si="277"/>
        <v>0</v>
      </c>
      <c r="R1010" s="152">
        <f t="shared" si="277"/>
        <v>0</v>
      </c>
      <c r="S1010" s="402">
        <f t="shared" si="278"/>
        <v>0</v>
      </c>
      <c r="T1010" s="404">
        <f t="shared" si="279"/>
        <v>0</v>
      </c>
      <c r="U1010" s="403"/>
      <c r="W1010" s="43" t="str">
        <f t="shared" si="273"/>
        <v/>
      </c>
      <c r="X1010" s="43" t="str">
        <f t="shared" si="264"/>
        <v/>
      </c>
      <c r="Y1010" s="43" t="str">
        <f t="shared" si="265"/>
        <v/>
      </c>
    </row>
    <row r="1011" spans="1:25" hidden="1">
      <c r="A1011" s="155">
        <v>603300</v>
      </c>
      <c r="B1011" s="156" t="s">
        <v>242</v>
      </c>
      <c r="C1011" s="411" t="s">
        <v>369</v>
      </c>
      <c r="D1011" s="351"/>
      <c r="E1011" s="405"/>
      <c r="F1011" s="406"/>
      <c r="G1011" s="158">
        <f t="shared" si="288"/>
        <v>0</v>
      </c>
      <c r="H1011" s="465">
        <v>10.5</v>
      </c>
      <c r="I1011" s="465">
        <f>IF(ISBLANK(H1011),"",SUM(G1011:H1011))</f>
        <v>10.5</v>
      </c>
      <c r="J1011" s="407">
        <f t="shared" si="274"/>
        <v>13.31</v>
      </c>
      <c r="K1011" s="408" t="s">
        <v>26</v>
      </c>
      <c r="L1011" s="152">
        <v>0</v>
      </c>
      <c r="M1011" s="152"/>
      <c r="N1011" s="402">
        <f t="shared" si="275"/>
        <v>0</v>
      </c>
      <c r="O1011" s="402">
        <f t="shared" si="276"/>
        <v>0</v>
      </c>
      <c r="P1011" s="403"/>
      <c r="Q1011" s="152">
        <f t="shared" si="277"/>
        <v>0</v>
      </c>
      <c r="R1011" s="152">
        <f t="shared" si="277"/>
        <v>0</v>
      </c>
      <c r="S1011" s="402">
        <f t="shared" si="278"/>
        <v>0</v>
      </c>
      <c r="T1011" s="404">
        <f t="shared" si="279"/>
        <v>0</v>
      </c>
      <c r="U1011" s="403"/>
      <c r="W1011" s="43" t="str">
        <f t="shared" si="273"/>
        <v/>
      </c>
      <c r="X1011" s="43" t="str">
        <f t="shared" si="264"/>
        <v/>
      </c>
      <c r="Y1011" s="43" t="str">
        <f t="shared" si="265"/>
        <v/>
      </c>
    </row>
    <row r="1012" spans="1:25" hidden="1">
      <c r="A1012" s="155">
        <v>603600</v>
      </c>
      <c r="B1012" s="156" t="s">
        <v>242</v>
      </c>
      <c r="C1012" s="411" t="s">
        <v>448</v>
      </c>
      <c r="D1012" s="351"/>
      <c r="E1012" s="405"/>
      <c r="F1012" s="406"/>
      <c r="G1012" s="158">
        <f>SUM(G1013:G1015)</f>
        <v>86.007500000000007</v>
      </c>
      <c r="H1012" s="465">
        <v>199.69</v>
      </c>
      <c r="I1012" s="465">
        <f t="shared" ref="I1012" si="289">IF(ISBLANK(H1012),"",SUM(G1012:H1012))</f>
        <v>285.69749999999999</v>
      </c>
      <c r="J1012" s="407">
        <f t="shared" si="274"/>
        <v>362.26</v>
      </c>
      <c r="K1012" s="408" t="s">
        <v>16</v>
      </c>
      <c r="L1012" s="152">
        <v>0</v>
      </c>
      <c r="M1012" s="152"/>
      <c r="N1012" s="402">
        <f t="shared" si="275"/>
        <v>0</v>
      </c>
      <c r="O1012" s="402">
        <f t="shared" si="276"/>
        <v>0</v>
      </c>
      <c r="P1012" s="403"/>
      <c r="Q1012" s="152">
        <f t="shared" si="277"/>
        <v>0</v>
      </c>
      <c r="R1012" s="152">
        <f t="shared" si="277"/>
        <v>0</v>
      </c>
      <c r="S1012" s="402">
        <f t="shared" si="278"/>
        <v>0</v>
      </c>
      <c r="T1012" s="404">
        <f t="shared" si="279"/>
        <v>0</v>
      </c>
      <c r="U1012" s="403"/>
      <c r="W1012" s="43" t="str">
        <f t="shared" si="273"/>
        <v/>
      </c>
      <c r="X1012" s="43" t="str">
        <f t="shared" si="264"/>
        <v/>
      </c>
      <c r="Y1012" s="43" t="str">
        <f t="shared" si="265"/>
        <v/>
      </c>
    </row>
    <row r="1013" spans="1:25" hidden="1">
      <c r="A1013" s="155" t="s">
        <v>183</v>
      </c>
      <c r="B1013" s="156"/>
      <c r="C1013" s="411" t="s">
        <v>251</v>
      </c>
      <c r="D1013" s="351"/>
      <c r="E1013" s="405">
        <v>500</v>
      </c>
      <c r="F1013" s="406">
        <v>0.1</v>
      </c>
      <c r="G1013" s="158">
        <f>IF(E1013&lt;=30,(0.42*E1013+3.55)*F1013,((0.42*30+3.55)+0.35*(E1013-30))*F1013)</f>
        <v>18.065000000000001</v>
      </c>
      <c r="H1013" s="465"/>
      <c r="I1013" s="465"/>
      <c r="J1013" s="407">
        <f t="shared" si="274"/>
        <v>0</v>
      </c>
      <c r="K1013" s="408"/>
      <c r="L1013" s="152">
        <v>0</v>
      </c>
      <c r="M1013" s="213"/>
      <c r="N1013" s="402">
        <f t="shared" si="275"/>
        <v>0</v>
      </c>
      <c r="O1013" s="402">
        <f t="shared" si="276"/>
        <v>0</v>
      </c>
      <c r="P1013" s="403"/>
      <c r="Q1013" s="464"/>
      <c r="R1013" s="464"/>
      <c r="S1013" s="402">
        <f t="shared" si="278"/>
        <v>0</v>
      </c>
      <c r="T1013" s="404">
        <f t="shared" si="279"/>
        <v>0</v>
      </c>
      <c r="U1013" s="403"/>
      <c r="V1013" s="160" t="str">
        <f>IF(T1012&gt;0,"xx",IF(O1012&gt;0,"xy",""))</f>
        <v/>
      </c>
      <c r="W1013" s="43" t="str">
        <f t="shared" si="273"/>
        <v/>
      </c>
      <c r="X1013" s="43" t="str">
        <f t="shared" ref="X1013:X1082" si="290">IF(V1013="X","x",IF(V1013="y","x",IF(V1013="xx","x",IF(T1013&gt;0,"x",""))))</f>
        <v/>
      </c>
      <c r="Y1013" s="43" t="str">
        <f t="shared" si="265"/>
        <v/>
      </c>
    </row>
    <row r="1014" spans="1:25" hidden="1">
      <c r="A1014" s="155" t="s">
        <v>183</v>
      </c>
      <c r="B1014" s="156"/>
      <c r="C1014" s="411" t="s">
        <v>314</v>
      </c>
      <c r="D1014" s="351"/>
      <c r="E1014" s="405">
        <v>180</v>
      </c>
      <c r="F1014" s="406">
        <v>0.51</v>
      </c>
      <c r="G1014" s="158">
        <f>IF(E1014&lt;=30,(0.6*E1014+1.25)*F1014,((0.6*30+1.25)+0.5*(E1014-30))*F1014)</f>
        <v>48.067500000000003</v>
      </c>
      <c r="H1014" s="465"/>
      <c r="I1014" s="465"/>
      <c r="J1014" s="407">
        <f t="shared" si="274"/>
        <v>0</v>
      </c>
      <c r="K1014" s="408"/>
      <c r="L1014" s="152">
        <v>0</v>
      </c>
      <c r="M1014" s="213"/>
      <c r="N1014" s="402">
        <f t="shared" si="275"/>
        <v>0</v>
      </c>
      <c r="O1014" s="402">
        <f t="shared" si="276"/>
        <v>0</v>
      </c>
      <c r="P1014" s="403"/>
      <c r="Q1014" s="464"/>
      <c r="R1014" s="464"/>
      <c r="S1014" s="402">
        <f t="shared" si="278"/>
        <v>0</v>
      </c>
      <c r="T1014" s="404">
        <f t="shared" si="279"/>
        <v>0</v>
      </c>
      <c r="U1014" s="403"/>
      <c r="V1014" s="160" t="str">
        <f>IF(T1012&gt;0,"xx",IF(O1012&gt;0,"xy",""))</f>
        <v/>
      </c>
      <c r="W1014" s="43" t="str">
        <f t="shared" si="273"/>
        <v/>
      </c>
      <c r="X1014" s="43" t="str">
        <f t="shared" si="290"/>
        <v/>
      </c>
      <c r="Y1014" s="43" t="str">
        <f t="shared" si="265"/>
        <v/>
      </c>
    </row>
    <row r="1015" spans="1:25" hidden="1">
      <c r="A1015" s="155" t="s">
        <v>183</v>
      </c>
      <c r="B1015" s="156"/>
      <c r="C1015" s="411" t="s">
        <v>323</v>
      </c>
      <c r="D1015" s="351"/>
      <c r="E1015" s="405">
        <v>20</v>
      </c>
      <c r="F1015" s="406">
        <v>1.5</v>
      </c>
      <c r="G1015" s="158">
        <f>IF(E1015&lt;=30,(0.6*E1015+1.25)*F1015,((0.6*30+1.25)+0.5*(E1015-30))*F1015)</f>
        <v>19.875</v>
      </c>
      <c r="H1015" s="465"/>
      <c r="I1015" s="465"/>
      <c r="J1015" s="407">
        <f t="shared" si="274"/>
        <v>0</v>
      </c>
      <c r="K1015" s="408"/>
      <c r="L1015" s="152">
        <v>0</v>
      </c>
      <c r="M1015" s="213"/>
      <c r="N1015" s="402">
        <f t="shared" si="275"/>
        <v>0</v>
      </c>
      <c r="O1015" s="402">
        <f t="shared" si="276"/>
        <v>0</v>
      </c>
      <c r="P1015" s="403"/>
      <c r="Q1015" s="464"/>
      <c r="R1015" s="464"/>
      <c r="S1015" s="402">
        <f t="shared" si="278"/>
        <v>0</v>
      </c>
      <c r="T1015" s="404">
        <f t="shared" si="279"/>
        <v>0</v>
      </c>
      <c r="U1015" s="403"/>
      <c r="V1015" s="160" t="str">
        <f>IF(T1012&gt;0,"xx",IF(O1012&gt;0,"xy",""))</f>
        <v/>
      </c>
      <c r="W1015" s="43" t="str">
        <f t="shared" si="273"/>
        <v/>
      </c>
      <c r="X1015" s="43" t="str">
        <f t="shared" si="290"/>
        <v/>
      </c>
      <c r="Y1015" s="43" t="str">
        <f t="shared" si="265"/>
        <v/>
      </c>
    </row>
    <row r="1016" spans="1:25" hidden="1">
      <c r="A1016" s="155">
        <v>603700</v>
      </c>
      <c r="B1016" s="156" t="s">
        <v>242</v>
      </c>
      <c r="C1016" s="411" t="s">
        <v>449</v>
      </c>
      <c r="D1016" s="351"/>
      <c r="E1016" s="405">
        <v>20</v>
      </c>
      <c r="F1016" s="406">
        <v>1.5</v>
      </c>
      <c r="G1016" s="158">
        <f>IF(E1016&lt;=30,(0.6*E1016+1.25)*F1016,((0.6*30+1.25)+0.5*(E1016-30))*F1016)</f>
        <v>19.875</v>
      </c>
      <c r="H1016" s="465">
        <v>149.06</v>
      </c>
      <c r="I1016" s="465">
        <f>IF(ISBLANK(H1016),"",SUM(G1016:H1016))*0.9</f>
        <v>152.04150000000001</v>
      </c>
      <c r="J1016" s="407">
        <f t="shared" si="274"/>
        <v>192.79</v>
      </c>
      <c r="K1016" s="408" t="s">
        <v>16</v>
      </c>
      <c r="L1016" s="152">
        <v>0</v>
      </c>
      <c r="M1016" s="152"/>
      <c r="N1016" s="402">
        <f t="shared" si="275"/>
        <v>0</v>
      </c>
      <c r="O1016" s="402">
        <f t="shared" si="276"/>
        <v>0</v>
      </c>
      <c r="P1016" s="403"/>
      <c r="Q1016" s="152">
        <f t="shared" si="277"/>
        <v>0</v>
      </c>
      <c r="R1016" s="152">
        <f t="shared" si="277"/>
        <v>0</v>
      </c>
      <c r="S1016" s="402">
        <f t="shared" si="278"/>
        <v>0</v>
      </c>
      <c r="T1016" s="404">
        <f t="shared" si="279"/>
        <v>0</v>
      </c>
      <c r="U1016" s="403"/>
      <c r="W1016" s="43" t="str">
        <f t="shared" si="273"/>
        <v/>
      </c>
      <c r="X1016" s="43" t="str">
        <f t="shared" si="290"/>
        <v/>
      </c>
      <c r="Y1016" s="43" t="str">
        <f t="shared" si="265"/>
        <v/>
      </c>
    </row>
    <row r="1017" spans="1:25" hidden="1">
      <c r="A1017" s="155">
        <v>603800</v>
      </c>
      <c r="B1017" s="156" t="s">
        <v>242</v>
      </c>
      <c r="C1017" s="411" t="s">
        <v>450</v>
      </c>
      <c r="D1017" s="351"/>
      <c r="E1017" s="405">
        <v>20</v>
      </c>
      <c r="F1017" s="406">
        <v>1.5</v>
      </c>
      <c r="G1017" s="158">
        <f t="shared" ref="G1017:G1019" si="291">IF(E1017&lt;=30,(0.6*E1017+1.25)*F1017,((0.6*30+1.25)+0.5*(E1017-30))*F1017)</f>
        <v>19.875</v>
      </c>
      <c r="H1017" s="465">
        <v>86.67</v>
      </c>
      <c r="I1017" s="465">
        <f>IF(ISBLANK(H1017),"",SUM(G1017:H1017))*0.9</f>
        <v>95.890500000000003</v>
      </c>
      <c r="J1017" s="407">
        <f t="shared" si="274"/>
        <v>121.59</v>
      </c>
      <c r="K1017" s="408" t="s">
        <v>16</v>
      </c>
      <c r="L1017" s="152">
        <v>0</v>
      </c>
      <c r="M1017" s="152"/>
      <c r="N1017" s="402">
        <f t="shared" si="275"/>
        <v>0</v>
      </c>
      <c r="O1017" s="402">
        <f t="shared" si="276"/>
        <v>0</v>
      </c>
      <c r="P1017" s="403"/>
      <c r="Q1017" s="152">
        <f t="shared" si="277"/>
        <v>0</v>
      </c>
      <c r="R1017" s="152">
        <f t="shared" si="277"/>
        <v>0</v>
      </c>
      <c r="S1017" s="402">
        <f t="shared" si="278"/>
        <v>0</v>
      </c>
      <c r="T1017" s="404">
        <f t="shared" si="279"/>
        <v>0</v>
      </c>
      <c r="U1017" s="403"/>
      <c r="W1017" s="43" t="str">
        <f t="shared" si="273"/>
        <v/>
      </c>
      <c r="X1017" s="43" t="str">
        <f t="shared" si="290"/>
        <v/>
      </c>
      <c r="Y1017" s="43" t="str">
        <f t="shared" si="265"/>
        <v/>
      </c>
    </row>
    <row r="1018" spans="1:25" hidden="1">
      <c r="A1018" s="155" t="s">
        <v>1076</v>
      </c>
      <c r="B1018" s="156" t="s">
        <v>242</v>
      </c>
      <c r="C1018" s="411" t="s">
        <v>451</v>
      </c>
      <c r="D1018" s="351"/>
      <c r="E1018" s="405">
        <v>20</v>
      </c>
      <c r="F1018" s="406">
        <v>1.5</v>
      </c>
      <c r="G1018" s="158">
        <f t="shared" si="291"/>
        <v>19.875</v>
      </c>
      <c r="H1018" s="465">
        <v>63.64</v>
      </c>
      <c r="I1018" s="465">
        <f>IF(ISBLANK(H1018),"",SUM(G1018:H1018))</f>
        <v>83.515000000000001</v>
      </c>
      <c r="J1018" s="407">
        <f t="shared" si="274"/>
        <v>105.9</v>
      </c>
      <c r="K1018" s="408" t="s">
        <v>16</v>
      </c>
      <c r="L1018" s="152">
        <v>0</v>
      </c>
      <c r="M1018" s="152"/>
      <c r="N1018" s="402">
        <f t="shared" si="275"/>
        <v>0</v>
      </c>
      <c r="O1018" s="402">
        <f t="shared" si="276"/>
        <v>0</v>
      </c>
      <c r="P1018" s="403"/>
      <c r="Q1018" s="152">
        <f t="shared" si="277"/>
        <v>0</v>
      </c>
      <c r="R1018" s="152">
        <f t="shared" si="277"/>
        <v>0</v>
      </c>
      <c r="S1018" s="402">
        <f t="shared" si="278"/>
        <v>0</v>
      </c>
      <c r="T1018" s="404">
        <f t="shared" si="279"/>
        <v>0</v>
      </c>
      <c r="U1018" s="403"/>
      <c r="W1018" s="43" t="str">
        <f t="shared" si="273"/>
        <v/>
      </c>
      <c r="X1018" s="43" t="str">
        <f t="shared" si="290"/>
        <v/>
      </c>
      <c r="Y1018" s="43" t="str">
        <f t="shared" si="265"/>
        <v/>
      </c>
    </row>
    <row r="1019" spans="1:25" hidden="1">
      <c r="A1019" s="155">
        <v>603900</v>
      </c>
      <c r="B1019" s="156" t="s">
        <v>242</v>
      </c>
      <c r="C1019" s="411" t="s">
        <v>452</v>
      </c>
      <c r="D1019" s="351"/>
      <c r="E1019" s="405">
        <v>20</v>
      </c>
      <c r="F1019" s="406">
        <v>1.5</v>
      </c>
      <c r="G1019" s="158">
        <f t="shared" si="291"/>
        <v>19.875</v>
      </c>
      <c r="H1019" s="465">
        <v>92.77</v>
      </c>
      <c r="I1019" s="465">
        <f>IF(ISBLANK(H1019),"",SUM(G1019:H1019))*0.9</f>
        <v>101.3805</v>
      </c>
      <c r="J1019" s="407">
        <f t="shared" si="274"/>
        <v>128.55000000000001</v>
      </c>
      <c r="K1019" s="408" t="s">
        <v>16</v>
      </c>
      <c r="L1019" s="152">
        <v>0</v>
      </c>
      <c r="M1019" s="152"/>
      <c r="N1019" s="402">
        <f t="shared" si="275"/>
        <v>0</v>
      </c>
      <c r="O1019" s="402">
        <f t="shared" si="276"/>
        <v>0</v>
      </c>
      <c r="P1019" s="403"/>
      <c r="Q1019" s="152">
        <f t="shared" si="277"/>
        <v>0</v>
      </c>
      <c r="R1019" s="152">
        <f t="shared" si="277"/>
        <v>0</v>
      </c>
      <c r="S1019" s="402">
        <f t="shared" si="278"/>
        <v>0</v>
      </c>
      <c r="T1019" s="404">
        <f t="shared" si="279"/>
        <v>0</v>
      </c>
      <c r="U1019" s="403"/>
      <c r="W1019" s="43" t="str">
        <f t="shared" si="273"/>
        <v/>
      </c>
      <c r="X1019" s="43" t="str">
        <f t="shared" si="290"/>
        <v/>
      </c>
      <c r="Y1019" s="43" t="str">
        <f t="shared" si="265"/>
        <v/>
      </c>
    </row>
    <row r="1020" spans="1:25" hidden="1">
      <c r="A1020" s="155">
        <v>603500</v>
      </c>
      <c r="B1020" s="156" t="s">
        <v>242</v>
      </c>
      <c r="C1020" s="411" t="s">
        <v>453</v>
      </c>
      <c r="D1020" s="351"/>
      <c r="E1020" s="405"/>
      <c r="F1020" s="406"/>
      <c r="G1020" s="158">
        <f>IF(E1020&lt;=30,(0.31*E1020+0.77)*F1020,((0.31*30+0.77)+0.31*(E1020-30))*F1020)</f>
        <v>0</v>
      </c>
      <c r="H1020" s="465">
        <v>850.04</v>
      </c>
      <c r="I1020" s="465">
        <f>IF(ISBLANK(H1020),"",SUM(G1020:H1020))</f>
        <v>850.04</v>
      </c>
      <c r="J1020" s="407">
        <f t="shared" si="274"/>
        <v>1077.8499999999999</v>
      </c>
      <c r="K1020" s="408" t="s">
        <v>16</v>
      </c>
      <c r="L1020" s="152">
        <v>0</v>
      </c>
      <c r="M1020" s="152"/>
      <c r="N1020" s="402">
        <f t="shared" si="275"/>
        <v>0</v>
      </c>
      <c r="O1020" s="402">
        <f t="shared" si="276"/>
        <v>0</v>
      </c>
      <c r="P1020" s="403"/>
      <c r="Q1020" s="152">
        <f t="shared" si="277"/>
        <v>0</v>
      </c>
      <c r="R1020" s="152">
        <f t="shared" si="277"/>
        <v>0</v>
      </c>
      <c r="S1020" s="402">
        <f t="shared" si="278"/>
        <v>0</v>
      </c>
      <c r="T1020" s="404">
        <f t="shared" si="279"/>
        <v>0</v>
      </c>
      <c r="U1020" s="403"/>
      <c r="W1020" s="43" t="str">
        <f t="shared" si="273"/>
        <v/>
      </c>
      <c r="X1020" s="43" t="str">
        <f t="shared" si="290"/>
        <v/>
      </c>
      <c r="Y1020" s="43" t="str">
        <f t="shared" si="265"/>
        <v/>
      </c>
    </row>
    <row r="1021" spans="1:25" hidden="1">
      <c r="A1021" s="155">
        <v>95474</v>
      </c>
      <c r="B1021" s="156" t="s">
        <v>241</v>
      </c>
      <c r="C1021" s="411" t="s">
        <v>454</v>
      </c>
      <c r="D1021" s="351"/>
      <c r="E1021" s="405"/>
      <c r="F1021" s="406"/>
      <c r="G1021" s="158">
        <f>IF(E1021&lt;=30,(0.31*E1021+0.77)*F1021,((0.31*30+0.77)+0.31*(E1021-30))*F1021)</f>
        <v>0</v>
      </c>
      <c r="H1021" s="465">
        <v>542.82000000000005</v>
      </c>
      <c r="I1021" s="465">
        <f>IF(ISBLANK(H1021),"",SUM(G1021:H1021))*0.86</f>
        <v>466.82520000000005</v>
      </c>
      <c r="J1021" s="407">
        <f t="shared" si="274"/>
        <v>591.92999999999995</v>
      </c>
      <c r="K1021" s="408" t="s">
        <v>16</v>
      </c>
      <c r="L1021" s="152">
        <v>0</v>
      </c>
      <c r="M1021" s="152"/>
      <c r="N1021" s="402">
        <f t="shared" si="275"/>
        <v>0</v>
      </c>
      <c r="O1021" s="402">
        <f t="shared" si="276"/>
        <v>0</v>
      </c>
      <c r="P1021" s="403"/>
      <c r="Q1021" s="152">
        <f t="shared" si="277"/>
        <v>0</v>
      </c>
      <c r="R1021" s="152">
        <f t="shared" si="277"/>
        <v>0</v>
      </c>
      <c r="S1021" s="402">
        <f t="shared" si="278"/>
        <v>0</v>
      </c>
      <c r="T1021" s="404">
        <f t="shared" si="279"/>
        <v>0</v>
      </c>
      <c r="U1021" s="403"/>
      <c r="W1021" s="43" t="str">
        <f t="shared" si="273"/>
        <v/>
      </c>
      <c r="X1021" s="43" t="str">
        <f t="shared" si="290"/>
        <v/>
      </c>
      <c r="Y1021" s="43" t="str">
        <f t="shared" si="265"/>
        <v/>
      </c>
    </row>
    <row r="1022" spans="1:25" hidden="1">
      <c r="A1022" s="155">
        <v>604000</v>
      </c>
      <c r="B1022" s="156" t="s">
        <v>242</v>
      </c>
      <c r="C1022" s="411" t="s">
        <v>455</v>
      </c>
      <c r="D1022" s="351"/>
      <c r="E1022" s="405"/>
      <c r="F1022" s="406"/>
      <c r="G1022" s="158">
        <f>SUM(G1023:G1024)</f>
        <v>226.84584999999998</v>
      </c>
      <c r="H1022" s="465">
        <v>352.68</v>
      </c>
      <c r="I1022" s="465">
        <f>IF(ISBLANK(H1022),"",SUM(G1022:H1022))</f>
        <v>579.52584999999999</v>
      </c>
      <c r="J1022" s="407">
        <f t="shared" si="274"/>
        <v>734.84</v>
      </c>
      <c r="K1022" s="408" t="s">
        <v>16</v>
      </c>
      <c r="L1022" s="152">
        <v>0</v>
      </c>
      <c r="M1022" s="152"/>
      <c r="N1022" s="402">
        <f t="shared" si="275"/>
        <v>0</v>
      </c>
      <c r="O1022" s="402">
        <f t="shared" si="276"/>
        <v>0</v>
      </c>
      <c r="P1022" s="403"/>
      <c r="Q1022" s="152">
        <f t="shared" si="277"/>
        <v>0</v>
      </c>
      <c r="R1022" s="152">
        <f t="shared" si="277"/>
        <v>0</v>
      </c>
      <c r="S1022" s="402">
        <f t="shared" si="278"/>
        <v>0</v>
      </c>
      <c r="T1022" s="404">
        <f t="shared" si="279"/>
        <v>0</v>
      </c>
      <c r="U1022" s="403"/>
      <c r="W1022" s="43" t="str">
        <f t="shared" si="273"/>
        <v/>
      </c>
      <c r="X1022" s="43" t="str">
        <f t="shared" si="290"/>
        <v/>
      </c>
      <c r="Y1022" s="43" t="str">
        <f t="shared" si="265"/>
        <v/>
      </c>
    </row>
    <row r="1023" spans="1:25" hidden="1">
      <c r="A1023" s="155" t="s">
        <v>183</v>
      </c>
      <c r="B1023" s="156"/>
      <c r="C1023" s="411" t="s">
        <v>251</v>
      </c>
      <c r="D1023" s="351"/>
      <c r="E1023" s="405">
        <v>500</v>
      </c>
      <c r="F1023" s="406">
        <v>0.434</v>
      </c>
      <c r="G1023" s="158">
        <f>IF(E1023&lt;=30,(0.42*E1023+3.55)*F1023,((0.42*30+3.55)+0.35*(E1023-30))*F1023)</f>
        <v>78.402100000000004</v>
      </c>
      <c r="H1023" s="465"/>
      <c r="I1023" s="465"/>
      <c r="J1023" s="407">
        <f t="shared" si="274"/>
        <v>0</v>
      </c>
      <c r="K1023" s="408"/>
      <c r="L1023" s="152">
        <v>0</v>
      </c>
      <c r="M1023" s="213"/>
      <c r="N1023" s="402">
        <f t="shared" si="275"/>
        <v>0</v>
      </c>
      <c r="O1023" s="402">
        <f t="shared" si="276"/>
        <v>0</v>
      </c>
      <c r="P1023" s="403"/>
      <c r="Q1023" s="464"/>
      <c r="R1023" s="464"/>
      <c r="S1023" s="402">
        <f t="shared" si="278"/>
        <v>0</v>
      </c>
      <c r="T1023" s="404">
        <f t="shared" si="279"/>
        <v>0</v>
      </c>
      <c r="U1023" s="403"/>
      <c r="V1023" s="160" t="str">
        <f>IF(T1022&gt;0,"xx",IF(O1022&gt;0,"xy",""))</f>
        <v/>
      </c>
      <c r="W1023" s="43" t="str">
        <f t="shared" si="273"/>
        <v/>
      </c>
      <c r="X1023" s="43" t="str">
        <f t="shared" si="290"/>
        <v/>
      </c>
      <c r="Y1023" s="43" t="str">
        <f t="shared" si="265"/>
        <v/>
      </c>
    </row>
    <row r="1024" spans="1:25" hidden="1">
      <c r="A1024" s="155" t="s">
        <v>183</v>
      </c>
      <c r="B1024" s="156"/>
      <c r="C1024" s="411" t="s">
        <v>314</v>
      </c>
      <c r="D1024" s="351"/>
      <c r="E1024" s="405">
        <v>180</v>
      </c>
      <c r="F1024" s="406">
        <v>1.575</v>
      </c>
      <c r="G1024" s="158">
        <f>IF(E1024&lt;=30,(0.6*E1024+1.25)*F1024,((0.6*30+1.25)+0.5*(E1024-30))*F1024)</f>
        <v>148.44374999999999</v>
      </c>
      <c r="H1024" s="465"/>
      <c r="I1024" s="465"/>
      <c r="J1024" s="407">
        <f t="shared" si="274"/>
        <v>0</v>
      </c>
      <c r="K1024" s="408"/>
      <c r="L1024" s="152">
        <v>0</v>
      </c>
      <c r="M1024" s="213"/>
      <c r="N1024" s="402">
        <f t="shared" si="275"/>
        <v>0</v>
      </c>
      <c r="O1024" s="402">
        <f t="shared" si="276"/>
        <v>0</v>
      </c>
      <c r="P1024" s="403"/>
      <c r="Q1024" s="464"/>
      <c r="R1024" s="464"/>
      <c r="S1024" s="402">
        <f t="shared" si="278"/>
        <v>0</v>
      </c>
      <c r="T1024" s="404">
        <f t="shared" si="279"/>
        <v>0</v>
      </c>
      <c r="U1024" s="403"/>
      <c r="V1024" s="160" t="str">
        <f>IF(T1022&gt;0,"xx",IF(O1022&gt;0,"xy",""))</f>
        <v/>
      </c>
      <c r="W1024" s="43" t="str">
        <f t="shared" si="273"/>
        <v/>
      </c>
      <c r="X1024" s="43" t="str">
        <f t="shared" si="290"/>
        <v/>
      </c>
      <c r="Y1024" s="43" t="str">
        <f t="shared" si="265"/>
        <v/>
      </c>
    </row>
    <row r="1025" spans="1:25" hidden="1">
      <c r="A1025" s="155">
        <v>604100</v>
      </c>
      <c r="B1025" s="156" t="s">
        <v>242</v>
      </c>
      <c r="C1025" s="411" t="s">
        <v>456</v>
      </c>
      <c r="D1025" s="351"/>
      <c r="E1025" s="405"/>
      <c r="F1025" s="406"/>
      <c r="G1025" s="158">
        <f>SUM(G1026:G1027)</f>
        <v>235.11625000000001</v>
      </c>
      <c r="H1025" s="465">
        <v>314.98</v>
      </c>
      <c r="I1025" s="465">
        <f>IF(ISBLANK(H1025),"",SUM(G1025:H1025))</f>
        <v>550.09625000000005</v>
      </c>
      <c r="J1025" s="407">
        <f t="shared" si="274"/>
        <v>697.52</v>
      </c>
      <c r="K1025" s="408" t="s">
        <v>16</v>
      </c>
      <c r="L1025" s="152">
        <v>0</v>
      </c>
      <c r="M1025" s="152"/>
      <c r="N1025" s="402">
        <f t="shared" si="275"/>
        <v>0</v>
      </c>
      <c r="O1025" s="402">
        <f t="shared" si="276"/>
        <v>0</v>
      </c>
      <c r="P1025" s="403"/>
      <c r="Q1025" s="152">
        <f t="shared" si="277"/>
        <v>0</v>
      </c>
      <c r="R1025" s="152">
        <f t="shared" si="277"/>
        <v>0</v>
      </c>
      <c r="S1025" s="402">
        <f t="shared" si="278"/>
        <v>0</v>
      </c>
      <c r="T1025" s="404">
        <f t="shared" si="279"/>
        <v>0</v>
      </c>
      <c r="U1025" s="403"/>
      <c r="W1025" s="43" t="str">
        <f t="shared" si="273"/>
        <v/>
      </c>
      <c r="X1025" s="43" t="str">
        <f t="shared" si="290"/>
        <v/>
      </c>
      <c r="Y1025" s="43" t="str">
        <f t="shared" si="265"/>
        <v/>
      </c>
    </row>
    <row r="1026" spans="1:25" hidden="1">
      <c r="A1026" s="155" t="s">
        <v>183</v>
      </c>
      <c r="B1026" s="156"/>
      <c r="C1026" s="411" t="s">
        <v>251</v>
      </c>
      <c r="D1026" s="351"/>
      <c r="E1026" s="405">
        <v>500</v>
      </c>
      <c r="F1026" s="406">
        <v>0.42499999999999999</v>
      </c>
      <c r="G1026" s="158">
        <f>IF(E1026&lt;=30,(0.42*E1026+3.55)*F1026,((0.42*30+3.55)+0.35*(E1026-30))*F1026)</f>
        <v>76.776250000000005</v>
      </c>
      <c r="H1026" s="465"/>
      <c r="I1026" s="465"/>
      <c r="J1026" s="407">
        <f t="shared" si="274"/>
        <v>0</v>
      </c>
      <c r="K1026" s="408"/>
      <c r="L1026" s="152">
        <v>0</v>
      </c>
      <c r="M1026" s="213"/>
      <c r="N1026" s="402">
        <f t="shared" si="275"/>
        <v>0</v>
      </c>
      <c r="O1026" s="402">
        <f t="shared" si="276"/>
        <v>0</v>
      </c>
      <c r="P1026" s="403"/>
      <c r="Q1026" s="464"/>
      <c r="R1026" s="464"/>
      <c r="S1026" s="402">
        <f t="shared" si="278"/>
        <v>0</v>
      </c>
      <c r="T1026" s="404">
        <f t="shared" si="279"/>
        <v>0</v>
      </c>
      <c r="U1026" s="403"/>
      <c r="V1026" s="160" t="str">
        <f>IF(T1025&gt;0,"xx",IF(O1025&gt;0,"xy",""))</f>
        <v/>
      </c>
      <c r="W1026" s="43" t="str">
        <f t="shared" si="273"/>
        <v/>
      </c>
      <c r="X1026" s="43" t="str">
        <f t="shared" si="290"/>
        <v/>
      </c>
      <c r="Y1026" s="43" t="str">
        <f t="shared" si="265"/>
        <v/>
      </c>
    </row>
    <row r="1027" spans="1:25" hidden="1">
      <c r="A1027" s="155" t="s">
        <v>183</v>
      </c>
      <c r="B1027" s="156"/>
      <c r="C1027" s="411" t="s">
        <v>314</v>
      </c>
      <c r="D1027" s="351"/>
      <c r="E1027" s="405">
        <v>180</v>
      </c>
      <c r="F1027" s="406">
        <v>1.68</v>
      </c>
      <c r="G1027" s="158">
        <f>IF(E1027&lt;=30,(0.6*E1027+1.25)*F1027,((0.6*30+1.25)+0.5*(E1027-30))*F1027)</f>
        <v>158.34</v>
      </c>
      <c r="H1027" s="465"/>
      <c r="I1027" s="465"/>
      <c r="J1027" s="407">
        <f t="shared" si="274"/>
        <v>0</v>
      </c>
      <c r="K1027" s="408"/>
      <c r="L1027" s="152">
        <v>0</v>
      </c>
      <c r="M1027" s="213"/>
      <c r="N1027" s="402">
        <f t="shared" si="275"/>
        <v>0</v>
      </c>
      <c r="O1027" s="402">
        <f t="shared" si="276"/>
        <v>0</v>
      </c>
      <c r="P1027" s="403"/>
      <c r="Q1027" s="464"/>
      <c r="R1027" s="464"/>
      <c r="S1027" s="402">
        <f t="shared" si="278"/>
        <v>0</v>
      </c>
      <c r="T1027" s="404">
        <f t="shared" si="279"/>
        <v>0</v>
      </c>
      <c r="U1027" s="403"/>
      <c r="V1027" s="160" t="str">
        <f>IF(T1025&gt;0,"xx",IF(O1025&gt;0,"xy",""))</f>
        <v/>
      </c>
      <c r="W1027" s="43" t="str">
        <f t="shared" si="273"/>
        <v/>
      </c>
      <c r="X1027" s="43" t="str">
        <f t="shared" si="290"/>
        <v/>
      </c>
      <c r="Y1027" s="43" t="str">
        <f t="shared" si="265"/>
        <v/>
      </c>
    </row>
    <row r="1028" spans="1:25" hidden="1">
      <c r="A1028" s="155">
        <v>640000</v>
      </c>
      <c r="B1028" s="156" t="s">
        <v>242</v>
      </c>
      <c r="C1028" s="411" t="s">
        <v>457</v>
      </c>
      <c r="D1028" s="351"/>
      <c r="E1028" s="405"/>
      <c r="F1028" s="406"/>
      <c r="G1028" s="158">
        <f>SUM(G1029:G1030)</f>
        <v>48.579750000000004</v>
      </c>
      <c r="H1028" s="465">
        <v>68.94</v>
      </c>
      <c r="I1028" s="465">
        <f>IF(ISBLANK(H1028),"",SUM(G1028:H1028))</f>
        <v>117.51975</v>
      </c>
      <c r="J1028" s="407">
        <f t="shared" si="274"/>
        <v>149.02000000000001</v>
      </c>
      <c r="K1028" s="408" t="s">
        <v>20</v>
      </c>
      <c r="L1028" s="152">
        <v>0</v>
      </c>
      <c r="M1028" s="152"/>
      <c r="N1028" s="402">
        <f t="shared" si="275"/>
        <v>0</v>
      </c>
      <c r="O1028" s="402">
        <f t="shared" si="276"/>
        <v>0</v>
      </c>
      <c r="P1028" s="403"/>
      <c r="Q1028" s="152">
        <f t="shared" si="277"/>
        <v>0</v>
      </c>
      <c r="R1028" s="152">
        <f t="shared" si="277"/>
        <v>0</v>
      </c>
      <c r="S1028" s="402">
        <f t="shared" si="278"/>
        <v>0</v>
      </c>
      <c r="T1028" s="404">
        <f t="shared" si="279"/>
        <v>0</v>
      </c>
      <c r="U1028" s="403"/>
      <c r="W1028" s="43" t="str">
        <f t="shared" si="273"/>
        <v/>
      </c>
      <c r="X1028" s="43" t="str">
        <f t="shared" si="290"/>
        <v/>
      </c>
      <c r="Y1028" s="43" t="str">
        <f t="shared" si="265"/>
        <v/>
      </c>
    </row>
    <row r="1029" spans="1:25" hidden="1">
      <c r="A1029" s="155" t="s">
        <v>183</v>
      </c>
      <c r="B1029" s="156"/>
      <c r="C1029" s="411" t="s">
        <v>314</v>
      </c>
      <c r="D1029" s="351"/>
      <c r="E1029" s="405">
        <v>180</v>
      </c>
      <c r="F1029" s="406">
        <v>0.50700000000000001</v>
      </c>
      <c r="G1029" s="158">
        <f t="shared" ref="G1029:G1030" si="292">IF(E1029&lt;=30,(0.6*E1029+1.25)*F1029,((0.6*30+1.25)+0.5*(E1029-30))*F1029)</f>
        <v>47.784750000000003</v>
      </c>
      <c r="H1029" s="465"/>
      <c r="I1029" s="465"/>
      <c r="J1029" s="407">
        <f t="shared" si="274"/>
        <v>0</v>
      </c>
      <c r="K1029" s="408"/>
      <c r="L1029" s="152">
        <v>0</v>
      </c>
      <c r="M1029" s="213"/>
      <c r="N1029" s="402">
        <f t="shared" si="275"/>
        <v>0</v>
      </c>
      <c r="O1029" s="402">
        <f t="shared" si="276"/>
        <v>0</v>
      </c>
      <c r="P1029" s="403"/>
      <c r="Q1029" s="464"/>
      <c r="R1029" s="464"/>
      <c r="S1029" s="402">
        <f t="shared" si="278"/>
        <v>0</v>
      </c>
      <c r="T1029" s="404">
        <f t="shared" si="279"/>
        <v>0</v>
      </c>
      <c r="U1029" s="403"/>
      <c r="V1029" s="160" t="str">
        <f>IF(T1028&gt;0,"xx",IF(O1028&gt;0,"xy",""))</f>
        <v/>
      </c>
      <c r="W1029" s="43" t="str">
        <f t="shared" si="273"/>
        <v/>
      </c>
      <c r="X1029" s="43" t="str">
        <f t="shared" si="290"/>
        <v/>
      </c>
      <c r="Y1029" s="43" t="str">
        <f t="shared" si="265"/>
        <v/>
      </c>
    </row>
    <row r="1030" spans="1:25" hidden="1">
      <c r="A1030" s="155" t="s">
        <v>183</v>
      </c>
      <c r="B1030" s="156"/>
      <c r="C1030" s="411" t="s">
        <v>458</v>
      </c>
      <c r="D1030" s="351"/>
      <c r="E1030" s="405">
        <v>20</v>
      </c>
      <c r="F1030" s="406">
        <v>0.06</v>
      </c>
      <c r="G1030" s="158">
        <f t="shared" si="292"/>
        <v>0.79499999999999993</v>
      </c>
      <c r="H1030" s="465"/>
      <c r="I1030" s="465"/>
      <c r="J1030" s="407">
        <f t="shared" si="274"/>
        <v>0</v>
      </c>
      <c r="K1030" s="408"/>
      <c r="L1030" s="152">
        <v>0</v>
      </c>
      <c r="M1030" s="213"/>
      <c r="N1030" s="402">
        <f t="shared" si="275"/>
        <v>0</v>
      </c>
      <c r="O1030" s="402">
        <f t="shared" si="276"/>
        <v>0</v>
      </c>
      <c r="P1030" s="403"/>
      <c r="Q1030" s="464"/>
      <c r="R1030" s="464"/>
      <c r="S1030" s="402">
        <f t="shared" si="278"/>
        <v>0</v>
      </c>
      <c r="T1030" s="404">
        <f t="shared" si="279"/>
        <v>0</v>
      </c>
      <c r="U1030" s="403"/>
      <c r="V1030" s="160" t="str">
        <f>IF(T1028&gt;0,"xx",IF(O1028&gt;0,"xy",""))</f>
        <v/>
      </c>
      <c r="W1030" s="43" t="str">
        <f t="shared" si="273"/>
        <v/>
      </c>
      <c r="X1030" s="43" t="str">
        <f t="shared" si="290"/>
        <v/>
      </c>
      <c r="Y1030" s="43" t="str">
        <f t="shared" si="265"/>
        <v/>
      </c>
    </row>
    <row r="1031" spans="1:25" hidden="1">
      <c r="A1031" s="155">
        <v>605000</v>
      </c>
      <c r="B1031" s="156" t="s">
        <v>242</v>
      </c>
      <c r="C1031" s="411" t="s">
        <v>459</v>
      </c>
      <c r="D1031" s="351"/>
      <c r="E1031" s="405"/>
      <c r="F1031" s="406"/>
      <c r="G1031" s="158">
        <f>SUM(G1032:G1034)</f>
        <v>147.12950000000001</v>
      </c>
      <c r="H1031" s="465">
        <v>294.37</v>
      </c>
      <c r="I1031" s="465">
        <f>IF(ISBLANK(H1031),"",SUM(G1031:H1031))</f>
        <v>441.49950000000001</v>
      </c>
      <c r="J1031" s="407">
        <f t="shared" si="274"/>
        <v>559.82000000000005</v>
      </c>
      <c r="K1031" s="408" t="s">
        <v>16</v>
      </c>
      <c r="L1031" s="152">
        <v>0</v>
      </c>
      <c r="M1031" s="152"/>
      <c r="N1031" s="402">
        <f t="shared" si="275"/>
        <v>0</v>
      </c>
      <c r="O1031" s="402">
        <f t="shared" si="276"/>
        <v>0</v>
      </c>
      <c r="P1031" s="403"/>
      <c r="Q1031" s="152">
        <f t="shared" si="277"/>
        <v>0</v>
      </c>
      <c r="R1031" s="152">
        <f t="shared" si="277"/>
        <v>0</v>
      </c>
      <c r="S1031" s="402">
        <f t="shared" si="278"/>
        <v>0</v>
      </c>
      <c r="T1031" s="404">
        <f t="shared" si="279"/>
        <v>0</v>
      </c>
      <c r="U1031" s="403"/>
      <c r="W1031" s="43" t="str">
        <f t="shared" si="273"/>
        <v/>
      </c>
      <c r="X1031" s="43" t="str">
        <f t="shared" si="290"/>
        <v/>
      </c>
      <c r="Y1031" s="43" t="str">
        <f t="shared" si="265"/>
        <v/>
      </c>
    </row>
    <row r="1032" spans="1:25" hidden="1">
      <c r="A1032" s="155" t="s">
        <v>183</v>
      </c>
      <c r="B1032" s="156"/>
      <c r="C1032" s="411" t="s">
        <v>251</v>
      </c>
      <c r="D1032" s="351"/>
      <c r="E1032" s="405">
        <v>500</v>
      </c>
      <c r="F1032" s="406">
        <v>0.18</v>
      </c>
      <c r="G1032" s="158">
        <f>IF(E1032&lt;=30,(0.42*E1032+3.55)*F1032,((0.42*30+3.55)+0.35*(E1032-30))*F1032)</f>
        <v>32.517000000000003</v>
      </c>
      <c r="H1032" s="465"/>
      <c r="I1032" s="465"/>
      <c r="J1032" s="407">
        <f t="shared" si="274"/>
        <v>0</v>
      </c>
      <c r="K1032" s="408"/>
      <c r="L1032" s="152">
        <v>0</v>
      </c>
      <c r="M1032" s="213"/>
      <c r="N1032" s="402">
        <f t="shared" si="275"/>
        <v>0</v>
      </c>
      <c r="O1032" s="402">
        <f t="shared" si="276"/>
        <v>0</v>
      </c>
      <c r="P1032" s="403"/>
      <c r="Q1032" s="464"/>
      <c r="R1032" s="464"/>
      <c r="S1032" s="402">
        <f t="shared" si="278"/>
        <v>0</v>
      </c>
      <c r="T1032" s="404">
        <f t="shared" si="279"/>
        <v>0</v>
      </c>
      <c r="U1032" s="403"/>
      <c r="V1032" s="160" t="str">
        <f>IF(T1031&gt;0,"xx",IF(O1031&gt;0,"xy",""))</f>
        <v/>
      </c>
      <c r="W1032" s="43" t="str">
        <f t="shared" si="273"/>
        <v/>
      </c>
      <c r="X1032" s="43" t="str">
        <f t="shared" si="290"/>
        <v/>
      </c>
      <c r="Y1032" s="43" t="str">
        <f t="shared" si="265"/>
        <v/>
      </c>
    </row>
    <row r="1033" spans="1:25" hidden="1">
      <c r="A1033" s="155" t="s">
        <v>183</v>
      </c>
      <c r="B1033" s="156"/>
      <c r="C1033" s="411" t="s">
        <v>314</v>
      </c>
      <c r="D1033" s="351"/>
      <c r="E1033" s="405">
        <v>180</v>
      </c>
      <c r="F1033" s="406">
        <v>1.06</v>
      </c>
      <c r="G1033" s="158">
        <f t="shared" ref="G1033:G1034" si="293">IF(E1033&lt;=30,(0.6*E1033+1.25)*F1033,((0.6*30+1.25)+0.5*(E1033-30))*F1033)</f>
        <v>99.905000000000001</v>
      </c>
      <c r="H1033" s="465"/>
      <c r="I1033" s="465"/>
      <c r="J1033" s="407">
        <f t="shared" si="274"/>
        <v>0</v>
      </c>
      <c r="K1033" s="408"/>
      <c r="L1033" s="152">
        <v>0</v>
      </c>
      <c r="M1033" s="213"/>
      <c r="N1033" s="402">
        <f t="shared" si="275"/>
        <v>0</v>
      </c>
      <c r="O1033" s="402">
        <f t="shared" si="276"/>
        <v>0</v>
      </c>
      <c r="P1033" s="403"/>
      <c r="Q1033" s="464"/>
      <c r="R1033" s="464"/>
      <c r="S1033" s="402">
        <f t="shared" si="278"/>
        <v>0</v>
      </c>
      <c r="T1033" s="404">
        <f t="shared" si="279"/>
        <v>0</v>
      </c>
      <c r="U1033" s="403"/>
      <c r="V1033" s="160" t="str">
        <f>IF(T1031&gt;0,"xx",IF(O1031&gt;0,"xy",""))</f>
        <v/>
      </c>
      <c r="W1033" s="43" t="str">
        <f t="shared" si="273"/>
        <v/>
      </c>
      <c r="X1033" s="43" t="str">
        <f t="shared" si="290"/>
        <v/>
      </c>
      <c r="Y1033" s="43" t="str">
        <f t="shared" si="265"/>
        <v/>
      </c>
    </row>
    <row r="1034" spans="1:25" hidden="1">
      <c r="A1034" s="155" t="s">
        <v>183</v>
      </c>
      <c r="B1034" s="156"/>
      <c r="C1034" s="411" t="s">
        <v>323</v>
      </c>
      <c r="D1034" s="351"/>
      <c r="E1034" s="405">
        <v>20</v>
      </c>
      <c r="F1034" s="406">
        <v>1.1100000000000001</v>
      </c>
      <c r="G1034" s="158">
        <f t="shared" si="293"/>
        <v>14.707500000000001</v>
      </c>
      <c r="H1034" s="465"/>
      <c r="I1034" s="465"/>
      <c r="J1034" s="407">
        <f t="shared" si="274"/>
        <v>0</v>
      </c>
      <c r="K1034" s="408"/>
      <c r="L1034" s="152">
        <v>0</v>
      </c>
      <c r="M1034" s="213"/>
      <c r="N1034" s="402">
        <f t="shared" si="275"/>
        <v>0</v>
      </c>
      <c r="O1034" s="402">
        <f t="shared" si="276"/>
        <v>0</v>
      </c>
      <c r="P1034" s="403"/>
      <c r="Q1034" s="464"/>
      <c r="R1034" s="464"/>
      <c r="S1034" s="402">
        <f t="shared" si="278"/>
        <v>0</v>
      </c>
      <c r="T1034" s="404">
        <f t="shared" si="279"/>
        <v>0</v>
      </c>
      <c r="U1034" s="403"/>
      <c r="V1034" s="160" t="str">
        <f>IF(T1031&gt;0,"xx",IF(O1031&gt;0,"xy",""))</f>
        <v/>
      </c>
      <c r="W1034" s="43" t="str">
        <f t="shared" si="273"/>
        <v/>
      </c>
      <c r="X1034" s="43" t="str">
        <f t="shared" si="290"/>
        <v/>
      </c>
      <c r="Y1034" s="43" t="str">
        <f t="shared" si="265"/>
        <v/>
      </c>
    </row>
    <row r="1035" spans="1:25" hidden="1">
      <c r="A1035" s="155">
        <v>606000</v>
      </c>
      <c r="B1035" s="156" t="s">
        <v>242</v>
      </c>
      <c r="C1035" s="411" t="s">
        <v>460</v>
      </c>
      <c r="D1035" s="351"/>
      <c r="E1035" s="405"/>
      <c r="F1035" s="406"/>
      <c r="G1035" s="158">
        <f>SUM(G1036:G1038)</f>
        <v>113.73660000000001</v>
      </c>
      <c r="H1035" s="465">
        <v>261.58</v>
      </c>
      <c r="I1035" s="465">
        <f>IF(ISBLANK(H1035),"",SUM(G1035:H1035))</f>
        <v>375.31659999999999</v>
      </c>
      <c r="J1035" s="407">
        <f t="shared" si="274"/>
        <v>475.9</v>
      </c>
      <c r="K1035" s="408" t="s">
        <v>16</v>
      </c>
      <c r="L1035" s="152">
        <v>0</v>
      </c>
      <c r="M1035" s="152"/>
      <c r="N1035" s="402">
        <f t="shared" si="275"/>
        <v>0</v>
      </c>
      <c r="O1035" s="402">
        <f t="shared" si="276"/>
        <v>0</v>
      </c>
      <c r="P1035" s="403"/>
      <c r="Q1035" s="152">
        <f t="shared" si="277"/>
        <v>0</v>
      </c>
      <c r="R1035" s="152">
        <f t="shared" si="277"/>
        <v>0</v>
      </c>
      <c r="S1035" s="402">
        <f t="shared" si="278"/>
        <v>0</v>
      </c>
      <c r="T1035" s="404">
        <f t="shared" si="279"/>
        <v>0</v>
      </c>
      <c r="U1035" s="403"/>
      <c r="W1035" s="43" t="str">
        <f t="shared" si="273"/>
        <v/>
      </c>
      <c r="X1035" s="43" t="str">
        <f t="shared" si="290"/>
        <v/>
      </c>
      <c r="Y1035" s="43" t="str">
        <f t="shared" si="265"/>
        <v/>
      </c>
    </row>
    <row r="1036" spans="1:25" hidden="1">
      <c r="A1036" s="155" t="s">
        <v>183</v>
      </c>
      <c r="B1036" s="156"/>
      <c r="C1036" s="411" t="s">
        <v>251</v>
      </c>
      <c r="D1036" s="351"/>
      <c r="E1036" s="405">
        <v>500</v>
      </c>
      <c r="F1036" s="406">
        <v>0.189</v>
      </c>
      <c r="G1036" s="158">
        <f>IF(E1036&lt;=30,(0.42*E1036+3.55)*F1036,((0.42*30+3.55)+0.35*(E1036-30))*F1036)</f>
        <v>34.142850000000003</v>
      </c>
      <c r="H1036" s="465"/>
      <c r="I1036" s="465"/>
      <c r="J1036" s="407">
        <f t="shared" si="274"/>
        <v>0</v>
      </c>
      <c r="K1036" s="408"/>
      <c r="L1036" s="152">
        <v>0</v>
      </c>
      <c r="M1036" s="213"/>
      <c r="N1036" s="402">
        <f t="shared" si="275"/>
        <v>0</v>
      </c>
      <c r="O1036" s="402">
        <f t="shared" si="276"/>
        <v>0</v>
      </c>
      <c r="P1036" s="403"/>
      <c r="Q1036" s="464"/>
      <c r="R1036" s="464"/>
      <c r="S1036" s="402">
        <f t="shared" si="278"/>
        <v>0</v>
      </c>
      <c r="T1036" s="404">
        <f t="shared" si="279"/>
        <v>0</v>
      </c>
      <c r="U1036" s="403"/>
      <c r="V1036" s="160" t="str">
        <f>IF(T1035&gt;0,"xx",IF(O1035&gt;0,"xy",""))</f>
        <v/>
      </c>
      <c r="W1036" s="43" t="str">
        <f t="shared" si="273"/>
        <v/>
      </c>
      <c r="X1036" s="43" t="str">
        <f t="shared" si="290"/>
        <v/>
      </c>
      <c r="Y1036" s="43" t="str">
        <f t="shared" si="265"/>
        <v/>
      </c>
    </row>
    <row r="1037" spans="1:25" hidden="1">
      <c r="A1037" s="155" t="s">
        <v>183</v>
      </c>
      <c r="B1037" s="156"/>
      <c r="C1037" s="411" t="s">
        <v>314</v>
      </c>
      <c r="D1037" s="351"/>
      <c r="E1037" s="405">
        <v>180</v>
      </c>
      <c r="F1037" s="406">
        <v>0.67200000000000004</v>
      </c>
      <c r="G1037" s="158">
        <f t="shared" ref="G1037:G1038" si="294">IF(E1037&lt;=30,(0.6*E1037+1.25)*F1037,((0.6*30+1.25)+0.5*(E1037-30))*F1037)</f>
        <v>63.336000000000006</v>
      </c>
      <c r="H1037" s="465"/>
      <c r="I1037" s="465"/>
      <c r="J1037" s="407">
        <f t="shared" si="274"/>
        <v>0</v>
      </c>
      <c r="K1037" s="408"/>
      <c r="L1037" s="152">
        <v>0</v>
      </c>
      <c r="M1037" s="213"/>
      <c r="N1037" s="402">
        <f t="shared" si="275"/>
        <v>0</v>
      </c>
      <c r="O1037" s="402">
        <f t="shared" si="276"/>
        <v>0</v>
      </c>
      <c r="P1037" s="403"/>
      <c r="Q1037" s="464"/>
      <c r="R1037" s="464"/>
      <c r="S1037" s="402">
        <f t="shared" si="278"/>
        <v>0</v>
      </c>
      <c r="T1037" s="404">
        <f t="shared" si="279"/>
        <v>0</v>
      </c>
      <c r="U1037" s="403"/>
      <c r="V1037" s="160" t="str">
        <f>IF(T1035&gt;0,"xx",IF(O1035&gt;0,"xy",""))</f>
        <v/>
      </c>
      <c r="W1037" s="43" t="str">
        <f t="shared" si="273"/>
        <v/>
      </c>
      <c r="X1037" s="43" t="str">
        <f t="shared" si="290"/>
        <v/>
      </c>
      <c r="Y1037" s="43" t="str">
        <f t="shared" si="265"/>
        <v/>
      </c>
    </row>
    <row r="1038" spans="1:25" hidden="1">
      <c r="A1038" s="155" t="s">
        <v>183</v>
      </c>
      <c r="B1038" s="156"/>
      <c r="C1038" s="411" t="s">
        <v>461</v>
      </c>
      <c r="D1038" s="351"/>
      <c r="E1038" s="405">
        <v>20</v>
      </c>
      <c r="F1038" s="406">
        <v>1.2270000000000001</v>
      </c>
      <c r="G1038" s="158">
        <f t="shared" si="294"/>
        <v>16.257750000000001</v>
      </c>
      <c r="H1038" s="465"/>
      <c r="I1038" s="465"/>
      <c r="J1038" s="407">
        <f t="shared" si="274"/>
        <v>0</v>
      </c>
      <c r="K1038" s="408"/>
      <c r="L1038" s="152">
        <v>0</v>
      </c>
      <c r="M1038" s="213"/>
      <c r="N1038" s="402">
        <f t="shared" si="275"/>
        <v>0</v>
      </c>
      <c r="O1038" s="402">
        <f t="shared" si="276"/>
        <v>0</v>
      </c>
      <c r="P1038" s="403"/>
      <c r="Q1038" s="464"/>
      <c r="R1038" s="464"/>
      <c r="S1038" s="402">
        <f t="shared" si="278"/>
        <v>0</v>
      </c>
      <c r="T1038" s="404">
        <f t="shared" si="279"/>
        <v>0</v>
      </c>
      <c r="U1038" s="403"/>
      <c r="V1038" s="160" t="str">
        <f>IF(T1035&gt;0,"xx",IF(O1035&gt;0,"xy",""))</f>
        <v/>
      </c>
      <c r="W1038" s="43" t="str">
        <f t="shared" si="273"/>
        <v/>
      </c>
      <c r="X1038" s="43" t="str">
        <f t="shared" si="290"/>
        <v/>
      </c>
      <c r="Y1038" s="43" t="str">
        <f t="shared" si="265"/>
        <v/>
      </c>
    </row>
    <row r="1039" spans="1:25" hidden="1">
      <c r="A1039" s="155">
        <v>605200</v>
      </c>
      <c r="B1039" s="156" t="s">
        <v>242</v>
      </c>
      <c r="C1039" s="411" t="s">
        <v>462</v>
      </c>
      <c r="D1039" s="351"/>
      <c r="E1039" s="405"/>
      <c r="F1039" s="406"/>
      <c r="G1039" s="158">
        <f>SUM(G1040:G1042)</f>
        <v>148.30800000000002</v>
      </c>
      <c r="H1039" s="465">
        <v>324.97000000000003</v>
      </c>
      <c r="I1039" s="465">
        <f>IF(ISBLANK(H1039),"",SUM(G1039:H1039))</f>
        <v>473.27800000000002</v>
      </c>
      <c r="J1039" s="407">
        <f t="shared" si="274"/>
        <v>600.12</v>
      </c>
      <c r="K1039" s="408" t="s">
        <v>16</v>
      </c>
      <c r="L1039" s="152">
        <v>0</v>
      </c>
      <c r="M1039" s="152"/>
      <c r="N1039" s="402">
        <f t="shared" si="275"/>
        <v>0</v>
      </c>
      <c r="O1039" s="402">
        <f t="shared" si="276"/>
        <v>0</v>
      </c>
      <c r="P1039" s="403"/>
      <c r="Q1039" s="152">
        <f t="shared" si="277"/>
        <v>0</v>
      </c>
      <c r="R1039" s="152">
        <f t="shared" si="277"/>
        <v>0</v>
      </c>
      <c r="S1039" s="402">
        <f t="shared" si="278"/>
        <v>0</v>
      </c>
      <c r="T1039" s="404">
        <f t="shared" si="279"/>
        <v>0</v>
      </c>
      <c r="U1039" s="403"/>
      <c r="W1039" s="43" t="str">
        <f t="shared" si="273"/>
        <v/>
      </c>
      <c r="X1039" s="43" t="str">
        <f t="shared" si="290"/>
        <v/>
      </c>
      <c r="Y1039" s="43" t="str">
        <f t="shared" si="265"/>
        <v/>
      </c>
    </row>
    <row r="1040" spans="1:25" hidden="1">
      <c r="A1040" s="155" t="s">
        <v>183</v>
      </c>
      <c r="B1040" s="156"/>
      <c r="C1040" s="411" t="s">
        <v>251</v>
      </c>
      <c r="D1040" s="351"/>
      <c r="E1040" s="405">
        <v>500</v>
      </c>
      <c r="F1040" s="406">
        <v>0.27</v>
      </c>
      <c r="G1040" s="158">
        <f>IF(E1040&lt;=30,(0.42*E1040+3.55)*F1040,((0.42*30+3.55)+0.35*(E1040-30))*F1040)</f>
        <v>48.775500000000008</v>
      </c>
      <c r="H1040" s="465"/>
      <c r="I1040" s="465"/>
      <c r="J1040" s="407">
        <f t="shared" si="274"/>
        <v>0</v>
      </c>
      <c r="K1040" s="408"/>
      <c r="L1040" s="152">
        <v>0</v>
      </c>
      <c r="M1040" s="213"/>
      <c r="N1040" s="402">
        <f t="shared" si="275"/>
        <v>0</v>
      </c>
      <c r="O1040" s="402">
        <f t="shared" si="276"/>
        <v>0</v>
      </c>
      <c r="P1040" s="403"/>
      <c r="Q1040" s="464"/>
      <c r="R1040" s="464"/>
      <c r="S1040" s="402">
        <f t="shared" si="278"/>
        <v>0</v>
      </c>
      <c r="T1040" s="404">
        <f t="shared" si="279"/>
        <v>0</v>
      </c>
      <c r="U1040" s="403"/>
      <c r="V1040" s="160" t="str">
        <f>IF(T1039&gt;0,"xx",IF(O1039&gt;0,"xy",""))</f>
        <v/>
      </c>
      <c r="W1040" s="43" t="str">
        <f t="shared" si="273"/>
        <v/>
      </c>
      <c r="X1040" s="43" t="str">
        <f t="shared" si="290"/>
        <v/>
      </c>
      <c r="Y1040" s="43" t="str">
        <f t="shared" si="265"/>
        <v/>
      </c>
    </row>
    <row r="1041" spans="1:25" hidden="1">
      <c r="A1041" s="155" t="s">
        <v>183</v>
      </c>
      <c r="B1041" s="156"/>
      <c r="C1041" s="411" t="s">
        <v>314</v>
      </c>
      <c r="D1041" s="351"/>
      <c r="E1041" s="405">
        <v>180</v>
      </c>
      <c r="F1041" s="406">
        <v>0.9</v>
      </c>
      <c r="G1041" s="158">
        <f t="shared" ref="G1041:G1042" si="295">IF(E1041&lt;=30,(0.6*E1041+1.25)*F1041,((0.6*30+1.25)+0.5*(E1041-30))*F1041)</f>
        <v>84.825000000000003</v>
      </c>
      <c r="H1041" s="465"/>
      <c r="I1041" s="465"/>
      <c r="J1041" s="407">
        <f t="shared" si="274"/>
        <v>0</v>
      </c>
      <c r="K1041" s="408"/>
      <c r="L1041" s="152">
        <v>0</v>
      </c>
      <c r="M1041" s="213"/>
      <c r="N1041" s="402">
        <f t="shared" si="275"/>
        <v>0</v>
      </c>
      <c r="O1041" s="402">
        <f t="shared" si="276"/>
        <v>0</v>
      </c>
      <c r="P1041" s="403"/>
      <c r="Q1041" s="464"/>
      <c r="R1041" s="464"/>
      <c r="S1041" s="402">
        <f t="shared" si="278"/>
        <v>0</v>
      </c>
      <c r="T1041" s="404">
        <f t="shared" si="279"/>
        <v>0</v>
      </c>
      <c r="U1041" s="403"/>
      <c r="V1041" s="160" t="str">
        <f>IF(T1039&gt;0,"xx",IF(O1039&gt;0,"xy",""))</f>
        <v/>
      </c>
      <c r="W1041" s="43" t="str">
        <f t="shared" si="273"/>
        <v/>
      </c>
      <c r="X1041" s="43" t="str">
        <f t="shared" si="290"/>
        <v/>
      </c>
      <c r="Y1041" s="43" t="str">
        <f t="shared" si="265"/>
        <v/>
      </c>
    </row>
    <row r="1042" spans="1:25" hidden="1">
      <c r="A1042" s="155" t="s">
        <v>183</v>
      </c>
      <c r="B1042" s="156"/>
      <c r="C1042" s="411" t="s">
        <v>323</v>
      </c>
      <c r="D1042" s="351"/>
      <c r="E1042" s="405">
        <v>20</v>
      </c>
      <c r="F1042" s="406">
        <v>1.1100000000000001</v>
      </c>
      <c r="G1042" s="158">
        <f t="shared" si="295"/>
        <v>14.707500000000001</v>
      </c>
      <c r="H1042" s="465"/>
      <c r="I1042" s="465"/>
      <c r="J1042" s="407">
        <f t="shared" si="274"/>
        <v>0</v>
      </c>
      <c r="K1042" s="408"/>
      <c r="L1042" s="152">
        <v>0</v>
      </c>
      <c r="M1042" s="213"/>
      <c r="N1042" s="402">
        <f t="shared" si="275"/>
        <v>0</v>
      </c>
      <c r="O1042" s="402">
        <f t="shared" si="276"/>
        <v>0</v>
      </c>
      <c r="P1042" s="403"/>
      <c r="Q1042" s="464"/>
      <c r="R1042" s="464"/>
      <c r="S1042" s="402">
        <f t="shared" si="278"/>
        <v>0</v>
      </c>
      <c r="T1042" s="404">
        <f t="shared" si="279"/>
        <v>0</v>
      </c>
      <c r="U1042" s="403"/>
      <c r="V1042" s="160" t="str">
        <f>IF(T1039&gt;0,"xx",IF(O1039&gt;0,"xy",""))</f>
        <v/>
      </c>
      <c r="W1042" s="43" t="str">
        <f t="shared" si="273"/>
        <v/>
      </c>
      <c r="X1042" s="43" t="str">
        <f t="shared" si="290"/>
        <v/>
      </c>
      <c r="Y1042" s="43" t="str">
        <f t="shared" si="265"/>
        <v/>
      </c>
    </row>
    <row r="1043" spans="1:25" hidden="1">
      <c r="A1043" s="155">
        <v>605300</v>
      </c>
      <c r="B1043" s="156" t="s">
        <v>242</v>
      </c>
      <c r="C1043" s="411" t="s">
        <v>463</v>
      </c>
      <c r="D1043" s="351"/>
      <c r="E1043" s="405"/>
      <c r="F1043" s="406"/>
      <c r="G1043" s="158">
        <f>SUM(G1044:G1046)</f>
        <v>161.12625000000003</v>
      </c>
      <c r="H1043" s="465">
        <v>346.26</v>
      </c>
      <c r="I1043" s="465">
        <f>IF(ISBLANK(H1043),"",SUM(G1043:H1043))</f>
        <v>507.38625000000002</v>
      </c>
      <c r="J1043" s="407">
        <f t="shared" si="274"/>
        <v>643.37</v>
      </c>
      <c r="K1043" s="408" t="s">
        <v>16</v>
      </c>
      <c r="L1043" s="152">
        <v>0</v>
      </c>
      <c r="M1043" s="152"/>
      <c r="N1043" s="402">
        <f t="shared" si="275"/>
        <v>0</v>
      </c>
      <c r="O1043" s="402">
        <f t="shared" si="276"/>
        <v>0</v>
      </c>
      <c r="P1043" s="403"/>
      <c r="Q1043" s="152">
        <f t="shared" si="277"/>
        <v>0</v>
      </c>
      <c r="R1043" s="152">
        <f t="shared" si="277"/>
        <v>0</v>
      </c>
      <c r="S1043" s="402">
        <f t="shared" si="278"/>
        <v>0</v>
      </c>
      <c r="T1043" s="404">
        <f t="shared" si="279"/>
        <v>0</v>
      </c>
      <c r="U1043" s="403"/>
      <c r="W1043" s="43" t="str">
        <f t="shared" si="273"/>
        <v/>
      </c>
      <c r="X1043" s="43" t="str">
        <f t="shared" si="290"/>
        <v/>
      </c>
      <c r="Y1043" s="43" t="str">
        <f t="shared" si="265"/>
        <v/>
      </c>
    </row>
    <row r="1044" spans="1:25" hidden="1">
      <c r="A1044" s="155" t="s">
        <v>183</v>
      </c>
      <c r="B1044" s="156"/>
      <c r="C1044" s="411" t="s">
        <v>251</v>
      </c>
      <c r="D1044" s="351"/>
      <c r="E1044" s="405">
        <v>500</v>
      </c>
      <c r="F1044" s="406">
        <v>0.33</v>
      </c>
      <c r="G1044" s="158">
        <f>IF(E1044&lt;=30,(0.42*E1044+3.55)*F1044,((0.42*30+3.55)+0.35*(E1044-30))*F1044)</f>
        <v>59.614500000000007</v>
      </c>
      <c r="H1044" s="465"/>
      <c r="I1044" s="465"/>
      <c r="J1044" s="407">
        <f t="shared" si="274"/>
        <v>0</v>
      </c>
      <c r="K1044" s="408"/>
      <c r="L1044" s="152">
        <v>0</v>
      </c>
      <c r="M1044" s="213"/>
      <c r="N1044" s="402">
        <f t="shared" si="275"/>
        <v>0</v>
      </c>
      <c r="O1044" s="402">
        <f t="shared" si="276"/>
        <v>0</v>
      </c>
      <c r="P1044" s="403"/>
      <c r="Q1044" s="464"/>
      <c r="R1044" s="464"/>
      <c r="S1044" s="402">
        <f t="shared" si="278"/>
        <v>0</v>
      </c>
      <c r="T1044" s="404">
        <f t="shared" si="279"/>
        <v>0</v>
      </c>
      <c r="U1044" s="403"/>
      <c r="V1044" s="160" t="str">
        <f>IF(T1043&gt;0,"xx",IF(O1043&gt;0,"xy",""))</f>
        <v/>
      </c>
      <c r="W1044" s="43" t="str">
        <f t="shared" si="273"/>
        <v/>
      </c>
      <c r="X1044" s="43" t="str">
        <f t="shared" si="290"/>
        <v/>
      </c>
      <c r="Y1044" s="43" t="str">
        <f t="shared" si="265"/>
        <v/>
      </c>
    </row>
    <row r="1045" spans="1:25" hidden="1">
      <c r="A1045" s="155" t="s">
        <v>183</v>
      </c>
      <c r="B1045" s="156"/>
      <c r="C1045" s="411" t="s">
        <v>314</v>
      </c>
      <c r="D1045" s="351"/>
      <c r="E1045" s="405">
        <v>180</v>
      </c>
      <c r="F1045" s="406">
        <v>0.92100000000000004</v>
      </c>
      <c r="G1045" s="158">
        <f t="shared" ref="G1045:G1046" si="296">IF(E1045&lt;=30,(0.6*E1045+1.25)*F1045,((0.6*30+1.25)+0.5*(E1045-30))*F1045)</f>
        <v>86.80425000000001</v>
      </c>
      <c r="H1045" s="465"/>
      <c r="I1045" s="465"/>
      <c r="J1045" s="407">
        <f t="shared" si="274"/>
        <v>0</v>
      </c>
      <c r="K1045" s="408"/>
      <c r="L1045" s="152">
        <v>0</v>
      </c>
      <c r="M1045" s="213"/>
      <c r="N1045" s="402">
        <f t="shared" si="275"/>
        <v>0</v>
      </c>
      <c r="O1045" s="402">
        <f t="shared" si="276"/>
        <v>0</v>
      </c>
      <c r="P1045" s="403"/>
      <c r="Q1045" s="464"/>
      <c r="R1045" s="464"/>
      <c r="S1045" s="402">
        <f t="shared" si="278"/>
        <v>0</v>
      </c>
      <c r="T1045" s="404">
        <f t="shared" si="279"/>
        <v>0</v>
      </c>
      <c r="U1045" s="403"/>
      <c r="V1045" s="160" t="str">
        <f>IF(T1043&gt;0,"xx",IF(O1043&gt;0,"xy",""))</f>
        <v/>
      </c>
      <c r="W1045" s="43" t="str">
        <f t="shared" si="273"/>
        <v/>
      </c>
      <c r="X1045" s="43" t="str">
        <f t="shared" si="290"/>
        <v/>
      </c>
      <c r="Y1045" s="43" t="str">
        <f t="shared" si="265"/>
        <v/>
      </c>
    </row>
    <row r="1046" spans="1:25" hidden="1">
      <c r="A1046" s="155" t="s">
        <v>183</v>
      </c>
      <c r="B1046" s="156"/>
      <c r="C1046" s="411" t="s">
        <v>323</v>
      </c>
      <c r="D1046" s="351"/>
      <c r="E1046" s="405">
        <v>20</v>
      </c>
      <c r="F1046" s="406">
        <v>1.1100000000000001</v>
      </c>
      <c r="G1046" s="158">
        <f t="shared" si="296"/>
        <v>14.707500000000001</v>
      </c>
      <c r="H1046" s="465"/>
      <c r="I1046" s="465"/>
      <c r="J1046" s="407">
        <f t="shared" si="274"/>
        <v>0</v>
      </c>
      <c r="K1046" s="408"/>
      <c r="L1046" s="152">
        <v>0</v>
      </c>
      <c r="M1046" s="213"/>
      <c r="N1046" s="402">
        <f t="shared" si="275"/>
        <v>0</v>
      </c>
      <c r="O1046" s="402">
        <f t="shared" si="276"/>
        <v>0</v>
      </c>
      <c r="P1046" s="403"/>
      <c r="Q1046" s="464"/>
      <c r="R1046" s="464"/>
      <c r="S1046" s="402">
        <f t="shared" si="278"/>
        <v>0</v>
      </c>
      <c r="T1046" s="404">
        <f t="shared" si="279"/>
        <v>0</v>
      </c>
      <c r="U1046" s="403"/>
      <c r="V1046" s="160" t="str">
        <f>IF(T1043&gt;0,"xx",IF(O1043&gt;0,"xy",""))</f>
        <v/>
      </c>
      <c r="W1046" s="43" t="str">
        <f t="shared" si="273"/>
        <v/>
      </c>
      <c r="X1046" s="43" t="str">
        <f t="shared" si="290"/>
        <v/>
      </c>
      <c r="Y1046" s="43" t="str">
        <f t="shared" si="265"/>
        <v/>
      </c>
    </row>
    <row r="1047" spans="1:25" hidden="1">
      <c r="A1047" s="155">
        <v>605400</v>
      </c>
      <c r="B1047" s="156" t="s">
        <v>242</v>
      </c>
      <c r="C1047" s="411" t="s">
        <v>464</v>
      </c>
      <c r="D1047" s="351"/>
      <c r="E1047" s="405"/>
      <c r="F1047" s="406"/>
      <c r="G1047" s="158">
        <f>SUM(G1048:G1050)</f>
        <v>147.12950000000001</v>
      </c>
      <c r="H1047" s="465">
        <v>351.32</v>
      </c>
      <c r="I1047" s="465">
        <f>IF(ISBLANK(H1047),"",SUM(G1047:H1047))</f>
        <v>498.4495</v>
      </c>
      <c r="J1047" s="407">
        <f t="shared" si="274"/>
        <v>632.03</v>
      </c>
      <c r="K1047" s="408" t="s">
        <v>16</v>
      </c>
      <c r="L1047" s="152">
        <v>0</v>
      </c>
      <c r="M1047" s="152"/>
      <c r="N1047" s="402">
        <f t="shared" si="275"/>
        <v>0</v>
      </c>
      <c r="O1047" s="402">
        <f t="shared" si="276"/>
        <v>0</v>
      </c>
      <c r="P1047" s="403"/>
      <c r="Q1047" s="152">
        <f t="shared" si="277"/>
        <v>0</v>
      </c>
      <c r="R1047" s="152">
        <f t="shared" si="277"/>
        <v>0</v>
      </c>
      <c r="S1047" s="402">
        <f t="shared" si="278"/>
        <v>0</v>
      </c>
      <c r="T1047" s="404">
        <f t="shared" si="279"/>
        <v>0</v>
      </c>
      <c r="U1047" s="403"/>
      <c r="W1047" s="43" t="str">
        <f t="shared" si="273"/>
        <v/>
      </c>
      <c r="X1047" s="43" t="str">
        <f t="shared" si="290"/>
        <v/>
      </c>
      <c r="Y1047" s="43" t="str">
        <f t="shared" si="265"/>
        <v/>
      </c>
    </row>
    <row r="1048" spans="1:25" hidden="1">
      <c r="A1048" s="155" t="s">
        <v>183</v>
      </c>
      <c r="B1048" s="156"/>
      <c r="C1048" s="411" t="s">
        <v>251</v>
      </c>
      <c r="D1048" s="351"/>
      <c r="E1048" s="405">
        <v>500</v>
      </c>
      <c r="F1048" s="406">
        <v>0.18</v>
      </c>
      <c r="G1048" s="158">
        <f>IF(E1048&lt;=30,(0.42*E1048+3.55)*F1048,((0.42*30+3.55)+0.35*(E1048-30))*F1048)</f>
        <v>32.517000000000003</v>
      </c>
      <c r="H1048" s="465">
        <v>0</v>
      </c>
      <c r="I1048" s="465"/>
      <c r="J1048" s="407">
        <f t="shared" si="274"/>
        <v>0</v>
      </c>
      <c r="K1048" s="408"/>
      <c r="L1048" s="152">
        <v>0</v>
      </c>
      <c r="M1048" s="213"/>
      <c r="N1048" s="402">
        <f t="shared" si="275"/>
        <v>0</v>
      </c>
      <c r="O1048" s="402">
        <f t="shared" si="276"/>
        <v>0</v>
      </c>
      <c r="P1048" s="403"/>
      <c r="Q1048" s="464"/>
      <c r="R1048" s="464"/>
      <c r="S1048" s="402">
        <f t="shared" si="278"/>
        <v>0</v>
      </c>
      <c r="T1048" s="404">
        <f t="shared" si="279"/>
        <v>0</v>
      </c>
      <c r="U1048" s="403"/>
      <c r="V1048" s="160" t="str">
        <f>IF(T1047&gt;0,"xx",IF(O1047&gt;0,"xy",""))</f>
        <v/>
      </c>
      <c r="W1048" s="43" t="str">
        <f t="shared" si="273"/>
        <v/>
      </c>
      <c r="X1048" s="43" t="str">
        <f t="shared" si="290"/>
        <v/>
      </c>
      <c r="Y1048" s="43" t="str">
        <f t="shared" si="265"/>
        <v/>
      </c>
    </row>
    <row r="1049" spans="1:25" hidden="1">
      <c r="A1049" s="155" t="s">
        <v>183</v>
      </c>
      <c r="B1049" s="156"/>
      <c r="C1049" s="411" t="s">
        <v>314</v>
      </c>
      <c r="D1049" s="351"/>
      <c r="E1049" s="405">
        <v>180</v>
      </c>
      <c r="F1049" s="406">
        <v>1.06</v>
      </c>
      <c r="G1049" s="158">
        <f t="shared" ref="G1049:G1050" si="297">IF(E1049&lt;=30,(0.6*E1049+1.25)*F1049,((0.6*30+1.25)+0.5*(E1049-30))*F1049)</f>
        <v>99.905000000000001</v>
      </c>
      <c r="H1049" s="465">
        <v>0</v>
      </c>
      <c r="I1049" s="465"/>
      <c r="J1049" s="407">
        <f t="shared" si="274"/>
        <v>0</v>
      </c>
      <c r="K1049" s="408"/>
      <c r="L1049" s="152">
        <v>0</v>
      </c>
      <c r="M1049" s="213"/>
      <c r="N1049" s="402">
        <f t="shared" si="275"/>
        <v>0</v>
      </c>
      <c r="O1049" s="402">
        <f t="shared" si="276"/>
        <v>0</v>
      </c>
      <c r="P1049" s="403"/>
      <c r="Q1049" s="464"/>
      <c r="R1049" s="464"/>
      <c r="S1049" s="402">
        <f t="shared" si="278"/>
        <v>0</v>
      </c>
      <c r="T1049" s="404">
        <f t="shared" si="279"/>
        <v>0</v>
      </c>
      <c r="U1049" s="403"/>
      <c r="V1049" s="160" t="str">
        <f>IF(T1047&gt;0,"xx",IF(O1047&gt;0,"xy",""))</f>
        <v/>
      </c>
      <c r="W1049" s="43" t="str">
        <f t="shared" si="273"/>
        <v/>
      </c>
      <c r="X1049" s="43" t="str">
        <f t="shared" si="290"/>
        <v/>
      </c>
      <c r="Y1049" s="43" t="str">
        <f t="shared" si="265"/>
        <v/>
      </c>
    </row>
    <row r="1050" spans="1:25" hidden="1">
      <c r="A1050" s="155" t="s">
        <v>183</v>
      </c>
      <c r="B1050" s="156"/>
      <c r="C1050" s="411" t="s">
        <v>323</v>
      </c>
      <c r="D1050" s="351"/>
      <c r="E1050" s="405">
        <v>20</v>
      </c>
      <c r="F1050" s="406">
        <v>1.1100000000000001</v>
      </c>
      <c r="G1050" s="158">
        <f t="shared" si="297"/>
        <v>14.707500000000001</v>
      </c>
      <c r="H1050" s="465">
        <v>0</v>
      </c>
      <c r="I1050" s="465"/>
      <c r="J1050" s="407">
        <f t="shared" si="274"/>
        <v>0</v>
      </c>
      <c r="K1050" s="408"/>
      <c r="L1050" s="152">
        <v>0</v>
      </c>
      <c r="M1050" s="213"/>
      <c r="N1050" s="402">
        <f t="shared" si="275"/>
        <v>0</v>
      </c>
      <c r="O1050" s="402">
        <f t="shared" si="276"/>
        <v>0</v>
      </c>
      <c r="P1050" s="403"/>
      <c r="Q1050" s="464"/>
      <c r="R1050" s="464"/>
      <c r="S1050" s="402">
        <f t="shared" si="278"/>
        <v>0</v>
      </c>
      <c r="T1050" s="404">
        <f t="shared" si="279"/>
        <v>0</v>
      </c>
      <c r="U1050" s="403"/>
      <c r="V1050" s="160" t="str">
        <f>IF(T1047&gt;0,"xx",IF(O1047&gt;0,"xy",""))</f>
        <v/>
      </c>
      <c r="W1050" s="43" t="str">
        <f t="shared" si="273"/>
        <v/>
      </c>
      <c r="X1050" s="43" t="str">
        <f t="shared" si="290"/>
        <v/>
      </c>
      <c r="Y1050" s="43" t="str">
        <f t="shared" si="265"/>
        <v/>
      </c>
    </row>
    <row r="1051" spans="1:25" hidden="1">
      <c r="A1051" s="155">
        <v>622000</v>
      </c>
      <c r="B1051" s="156" t="s">
        <v>242</v>
      </c>
      <c r="C1051" s="411" t="s">
        <v>1077</v>
      </c>
      <c r="D1051" s="351"/>
      <c r="E1051" s="405"/>
      <c r="F1051" s="406"/>
      <c r="G1051" s="158">
        <f>SUM(G1052:G1055)</f>
        <v>39.085810000000002</v>
      </c>
      <c r="H1051" s="465">
        <v>220.54</v>
      </c>
      <c r="I1051" s="465">
        <f>IF(ISBLANK(H1051),"",SUM(G1051:H1051))</f>
        <v>259.62581</v>
      </c>
      <c r="J1051" s="407">
        <f t="shared" si="274"/>
        <v>329.21</v>
      </c>
      <c r="K1051" s="408" t="s">
        <v>23</v>
      </c>
      <c r="L1051" s="152">
        <v>0</v>
      </c>
      <c r="M1051" s="152"/>
      <c r="N1051" s="402">
        <f t="shared" si="275"/>
        <v>0</v>
      </c>
      <c r="O1051" s="402">
        <f t="shared" si="276"/>
        <v>0</v>
      </c>
      <c r="P1051" s="403"/>
      <c r="Q1051" s="152">
        <f t="shared" si="277"/>
        <v>0</v>
      </c>
      <c r="R1051" s="152">
        <f t="shared" si="277"/>
        <v>0</v>
      </c>
      <c r="S1051" s="402">
        <f t="shared" si="278"/>
        <v>0</v>
      </c>
      <c r="T1051" s="404">
        <f t="shared" si="279"/>
        <v>0</v>
      </c>
      <c r="U1051" s="403"/>
      <c r="W1051" s="43" t="str">
        <f t="shared" si="273"/>
        <v/>
      </c>
      <c r="X1051" s="43" t="str">
        <f t="shared" si="290"/>
        <v/>
      </c>
      <c r="Y1051" s="43" t="str">
        <f t="shared" si="265"/>
        <v/>
      </c>
    </row>
    <row r="1052" spans="1:25" hidden="1">
      <c r="A1052" s="155" t="s">
        <v>183</v>
      </c>
      <c r="B1052" s="156"/>
      <c r="C1052" s="411" t="s">
        <v>251</v>
      </c>
      <c r="D1052" s="351"/>
      <c r="E1052" s="405">
        <v>500</v>
      </c>
      <c r="F1052" s="406">
        <v>4.24E-2</v>
      </c>
      <c r="G1052" s="158">
        <f>IF(E1052&lt;=30,(0.42*E1052+3.55)*F1052,((0.42*30+3.55)+0.35*(E1052-30))*F1052)</f>
        <v>7.6595599999999999</v>
      </c>
      <c r="H1052" s="465">
        <v>0</v>
      </c>
      <c r="I1052" s="465"/>
      <c r="J1052" s="407">
        <f t="shared" si="274"/>
        <v>0</v>
      </c>
      <c r="K1052" s="408"/>
      <c r="L1052" s="152">
        <v>0</v>
      </c>
      <c r="M1052" s="213"/>
      <c r="N1052" s="402">
        <f t="shared" si="275"/>
        <v>0</v>
      </c>
      <c r="O1052" s="402">
        <f t="shared" si="276"/>
        <v>0</v>
      </c>
      <c r="P1052" s="403"/>
      <c r="Q1052" s="464"/>
      <c r="R1052" s="464"/>
      <c r="S1052" s="402">
        <f t="shared" si="278"/>
        <v>0</v>
      </c>
      <c r="T1052" s="404">
        <f t="shared" si="279"/>
        <v>0</v>
      </c>
      <c r="U1052" s="403"/>
      <c r="V1052" s="160" t="str">
        <f>IF(T1051&gt;0,"xx",IF(O1051&gt;0,"xy",""))</f>
        <v/>
      </c>
      <c r="W1052" s="43" t="str">
        <f t="shared" si="273"/>
        <v/>
      </c>
      <c r="X1052" s="43" t="str">
        <f t="shared" si="290"/>
        <v/>
      </c>
      <c r="Y1052" s="43" t="str">
        <f t="shared" si="265"/>
        <v/>
      </c>
    </row>
    <row r="1053" spans="1:25" hidden="1">
      <c r="A1053" s="155" t="s">
        <v>183</v>
      </c>
      <c r="B1053" s="156"/>
      <c r="C1053" s="411" t="s">
        <v>314</v>
      </c>
      <c r="D1053" s="351"/>
      <c r="E1053" s="405">
        <v>180</v>
      </c>
      <c r="F1053" s="406">
        <v>0.1507</v>
      </c>
      <c r="G1053" s="158">
        <f t="shared" ref="G1053:G1055" si="298">IF(E1053&lt;=30,(0.6*E1053+1.25)*F1053,((0.6*30+1.25)+0.5*(E1053-30))*F1053)</f>
        <v>14.203474999999999</v>
      </c>
      <c r="H1053" s="465">
        <v>0</v>
      </c>
      <c r="I1053" s="465"/>
      <c r="J1053" s="407">
        <f t="shared" si="274"/>
        <v>0</v>
      </c>
      <c r="K1053" s="408"/>
      <c r="L1053" s="152">
        <v>0</v>
      </c>
      <c r="M1053" s="213"/>
      <c r="N1053" s="402">
        <f t="shared" si="275"/>
        <v>0</v>
      </c>
      <c r="O1053" s="402">
        <f t="shared" si="276"/>
        <v>0</v>
      </c>
      <c r="P1053" s="403"/>
      <c r="Q1053" s="464"/>
      <c r="R1053" s="464"/>
      <c r="S1053" s="402">
        <f t="shared" si="278"/>
        <v>0</v>
      </c>
      <c r="T1053" s="404">
        <f t="shared" si="279"/>
        <v>0</v>
      </c>
      <c r="U1053" s="403"/>
      <c r="V1053" s="160" t="str">
        <f>IF(T1051&gt;0,"xx",IF(O1051&gt;0,"xy",""))</f>
        <v/>
      </c>
      <c r="W1053" s="43" t="str">
        <f t="shared" si="273"/>
        <v/>
      </c>
      <c r="X1053" s="43" t="str">
        <f t="shared" si="290"/>
        <v/>
      </c>
      <c r="Y1053" s="43" t="str">
        <f t="shared" si="265"/>
        <v/>
      </c>
    </row>
    <row r="1054" spans="1:25" hidden="1">
      <c r="A1054" s="155" t="s">
        <v>183</v>
      </c>
      <c r="B1054" s="156"/>
      <c r="C1054" s="411" t="s">
        <v>323</v>
      </c>
      <c r="D1054" s="351"/>
      <c r="E1054" s="405">
        <v>180</v>
      </c>
      <c r="F1054" s="406">
        <v>0.17430000000000001</v>
      </c>
      <c r="G1054" s="158">
        <f t="shared" si="298"/>
        <v>16.427775</v>
      </c>
      <c r="H1054" s="465">
        <v>0</v>
      </c>
      <c r="I1054" s="465"/>
      <c r="J1054" s="407">
        <f t="shared" si="274"/>
        <v>0</v>
      </c>
      <c r="K1054" s="408"/>
      <c r="L1054" s="152">
        <v>0</v>
      </c>
      <c r="M1054" s="213"/>
      <c r="N1054" s="402">
        <f t="shared" si="275"/>
        <v>0</v>
      </c>
      <c r="O1054" s="402">
        <f t="shared" si="276"/>
        <v>0</v>
      </c>
      <c r="P1054" s="403"/>
      <c r="Q1054" s="464"/>
      <c r="R1054" s="464"/>
      <c r="S1054" s="402">
        <f t="shared" si="278"/>
        <v>0</v>
      </c>
      <c r="T1054" s="404">
        <f t="shared" si="279"/>
        <v>0</v>
      </c>
      <c r="U1054" s="403"/>
      <c r="V1054" s="160" t="str">
        <f>IF(T1051&gt;0,"xx",IF(O1051&gt;0,"xy",""))</f>
        <v/>
      </c>
      <c r="W1054" s="43" t="str">
        <f t="shared" si="273"/>
        <v/>
      </c>
      <c r="X1054" s="43" t="str">
        <f t="shared" si="290"/>
        <v/>
      </c>
      <c r="Y1054" s="43" t="str">
        <f t="shared" si="265"/>
        <v/>
      </c>
    </row>
    <row r="1055" spans="1:25" hidden="1">
      <c r="A1055" s="155" t="s">
        <v>183</v>
      </c>
      <c r="B1055" s="156"/>
      <c r="C1055" s="411" t="s">
        <v>458</v>
      </c>
      <c r="D1055" s="351"/>
      <c r="E1055" s="405">
        <v>20</v>
      </c>
      <c r="F1055" s="406">
        <v>0.06</v>
      </c>
      <c r="G1055" s="158">
        <f t="shared" si="298"/>
        <v>0.79499999999999993</v>
      </c>
      <c r="H1055" s="465">
        <v>0</v>
      </c>
      <c r="I1055" s="465"/>
      <c r="J1055" s="407">
        <f t="shared" si="274"/>
        <v>0</v>
      </c>
      <c r="K1055" s="408"/>
      <c r="L1055" s="152">
        <v>0</v>
      </c>
      <c r="M1055" s="213"/>
      <c r="N1055" s="402">
        <f t="shared" si="275"/>
        <v>0</v>
      </c>
      <c r="O1055" s="402">
        <f t="shared" si="276"/>
        <v>0</v>
      </c>
      <c r="P1055" s="403"/>
      <c r="Q1055" s="464"/>
      <c r="R1055" s="464"/>
      <c r="S1055" s="402">
        <f t="shared" si="278"/>
        <v>0</v>
      </c>
      <c r="T1055" s="404">
        <f t="shared" si="279"/>
        <v>0</v>
      </c>
      <c r="U1055" s="403"/>
      <c r="V1055" s="160" t="str">
        <f>IF(T1051&gt;0,"xx",IF(O1051&gt;0,"xy",""))</f>
        <v/>
      </c>
      <c r="W1055" s="43" t="str">
        <f t="shared" si="273"/>
        <v/>
      </c>
      <c r="X1055" s="43" t="str">
        <f t="shared" si="290"/>
        <v/>
      </c>
      <c r="Y1055" s="43" t="str">
        <f t="shared" si="265"/>
        <v/>
      </c>
    </row>
    <row r="1056" spans="1:25" hidden="1">
      <c r="A1056" s="155" t="s">
        <v>1078</v>
      </c>
      <c r="B1056" s="156" t="s">
        <v>242</v>
      </c>
      <c r="C1056" s="411" t="s">
        <v>1079</v>
      </c>
      <c r="D1056" s="351"/>
      <c r="E1056" s="405"/>
      <c r="F1056" s="406"/>
      <c r="G1056" s="158">
        <f>SUM(G1057:G1059)</f>
        <v>36.264139999999998</v>
      </c>
      <c r="H1056" s="465">
        <v>340.82499999999999</v>
      </c>
      <c r="I1056" s="465">
        <f>IF(ISBLANK(H1056),"",SUM(G1056:H1056))</f>
        <v>377.08913999999999</v>
      </c>
      <c r="J1056" s="407">
        <f t="shared" si="274"/>
        <v>478.15</v>
      </c>
      <c r="K1056" s="408" t="s">
        <v>23</v>
      </c>
      <c r="L1056" s="152">
        <v>0</v>
      </c>
      <c r="M1056" s="152"/>
      <c r="N1056" s="402">
        <f t="shared" si="275"/>
        <v>0</v>
      </c>
      <c r="O1056" s="402">
        <f t="shared" si="276"/>
        <v>0</v>
      </c>
      <c r="P1056" s="403"/>
      <c r="Q1056" s="152">
        <f t="shared" si="277"/>
        <v>0</v>
      </c>
      <c r="R1056" s="152">
        <f t="shared" si="277"/>
        <v>0</v>
      </c>
      <c r="S1056" s="402">
        <f t="shared" si="278"/>
        <v>0</v>
      </c>
      <c r="T1056" s="404">
        <f t="shared" si="279"/>
        <v>0</v>
      </c>
      <c r="U1056" s="403"/>
      <c r="W1056" s="43" t="str">
        <f t="shared" si="273"/>
        <v/>
      </c>
      <c r="X1056" s="43" t="str">
        <f t="shared" si="290"/>
        <v/>
      </c>
      <c r="Y1056" s="43" t="str">
        <f t="shared" si="265"/>
        <v/>
      </c>
    </row>
    <row r="1057" spans="1:25" hidden="1">
      <c r="A1057" s="155" t="s">
        <v>183</v>
      </c>
      <c r="B1057" s="156"/>
      <c r="C1057" s="411" t="s">
        <v>251</v>
      </c>
      <c r="D1057" s="351"/>
      <c r="E1057" s="405">
        <v>500</v>
      </c>
      <c r="F1057" s="406">
        <v>6.3600000000000004E-2</v>
      </c>
      <c r="G1057" s="158">
        <f>IF(E1057&lt;=30,(0.42*E1057+3.55)*F1057,((0.42*30+3.55)+0.35*(E1057-30))*F1057)</f>
        <v>11.48934</v>
      </c>
      <c r="H1057" s="465">
        <v>0</v>
      </c>
      <c r="I1057" s="465"/>
      <c r="J1057" s="407">
        <f t="shared" si="274"/>
        <v>0</v>
      </c>
      <c r="K1057" s="408"/>
      <c r="L1057" s="152">
        <v>0</v>
      </c>
      <c r="M1057" s="213"/>
      <c r="N1057" s="402">
        <f t="shared" si="275"/>
        <v>0</v>
      </c>
      <c r="O1057" s="402">
        <f t="shared" si="276"/>
        <v>0</v>
      </c>
      <c r="P1057" s="403"/>
      <c r="Q1057" s="464"/>
      <c r="R1057" s="464"/>
      <c r="S1057" s="402">
        <f t="shared" si="278"/>
        <v>0</v>
      </c>
      <c r="T1057" s="404">
        <f t="shared" si="279"/>
        <v>0</v>
      </c>
      <c r="U1057" s="403"/>
      <c r="V1057" s="160" t="str">
        <f>IF(T1056&gt;0,"xx",IF(O1056&gt;0,"xy",""))</f>
        <v/>
      </c>
      <c r="W1057" s="43" t="str">
        <f t="shared" si="273"/>
        <v/>
      </c>
      <c r="X1057" s="43" t="str">
        <f t="shared" si="290"/>
        <v/>
      </c>
      <c r="Y1057" s="43" t="str">
        <f t="shared" si="265"/>
        <v/>
      </c>
    </row>
    <row r="1058" spans="1:25" hidden="1">
      <c r="A1058" s="155" t="s">
        <v>183</v>
      </c>
      <c r="B1058" s="156"/>
      <c r="C1058" s="411" t="s">
        <v>314</v>
      </c>
      <c r="D1058" s="351"/>
      <c r="E1058" s="405">
        <v>180</v>
      </c>
      <c r="F1058" s="406">
        <v>0.2261</v>
      </c>
      <c r="G1058" s="158">
        <f t="shared" ref="G1058:G1059" si="299">IF(E1058&lt;=30,(0.6*E1058+1.25)*F1058,((0.6*30+1.25)+0.5*(E1058-30))*F1058)</f>
        <v>21.309925</v>
      </c>
      <c r="H1058" s="465">
        <v>0</v>
      </c>
      <c r="I1058" s="465"/>
      <c r="J1058" s="407">
        <f t="shared" si="274"/>
        <v>0</v>
      </c>
      <c r="K1058" s="408"/>
      <c r="L1058" s="152">
        <v>0</v>
      </c>
      <c r="M1058" s="213"/>
      <c r="N1058" s="402">
        <f t="shared" si="275"/>
        <v>0</v>
      </c>
      <c r="O1058" s="402">
        <f t="shared" si="276"/>
        <v>0</v>
      </c>
      <c r="P1058" s="403"/>
      <c r="Q1058" s="464"/>
      <c r="R1058" s="464"/>
      <c r="S1058" s="402">
        <f t="shared" si="278"/>
        <v>0</v>
      </c>
      <c r="T1058" s="404">
        <f t="shared" si="279"/>
        <v>0</v>
      </c>
      <c r="U1058" s="403"/>
      <c r="V1058" s="160" t="str">
        <f>IF(T1056&gt;0,"xx",IF(O1056&gt;0,"xy",""))</f>
        <v/>
      </c>
      <c r="W1058" s="43" t="str">
        <f t="shared" si="273"/>
        <v/>
      </c>
      <c r="X1058" s="43" t="str">
        <f t="shared" si="290"/>
        <v/>
      </c>
      <c r="Y1058" s="43" t="str">
        <f t="shared" si="265"/>
        <v/>
      </c>
    </row>
    <row r="1059" spans="1:25" hidden="1">
      <c r="A1059" s="155" t="s">
        <v>183</v>
      </c>
      <c r="B1059" s="156"/>
      <c r="C1059" s="411" t="s">
        <v>323</v>
      </c>
      <c r="D1059" s="351"/>
      <c r="E1059" s="405">
        <v>20</v>
      </c>
      <c r="F1059" s="406">
        <v>0.26150000000000001</v>
      </c>
      <c r="G1059" s="158">
        <f t="shared" si="299"/>
        <v>3.4648750000000001</v>
      </c>
      <c r="H1059" s="465">
        <v>0</v>
      </c>
      <c r="I1059" s="465"/>
      <c r="J1059" s="407">
        <f t="shared" si="274"/>
        <v>0</v>
      </c>
      <c r="K1059" s="408"/>
      <c r="L1059" s="152">
        <v>0</v>
      </c>
      <c r="M1059" s="213"/>
      <c r="N1059" s="402">
        <f t="shared" si="275"/>
        <v>0</v>
      </c>
      <c r="O1059" s="402">
        <f t="shared" si="276"/>
        <v>0</v>
      </c>
      <c r="P1059" s="403"/>
      <c r="Q1059" s="464"/>
      <c r="R1059" s="464"/>
      <c r="S1059" s="402">
        <f t="shared" si="278"/>
        <v>0</v>
      </c>
      <c r="T1059" s="404">
        <f t="shared" si="279"/>
        <v>0</v>
      </c>
      <c r="U1059" s="403"/>
      <c r="V1059" s="160" t="str">
        <f>IF(T1056&gt;0,"xx",IF(O1056&gt;0,"xy",""))</f>
        <v/>
      </c>
      <c r="W1059" s="43" t="str">
        <f t="shared" si="273"/>
        <v/>
      </c>
      <c r="X1059" s="43" t="str">
        <f t="shared" si="290"/>
        <v/>
      </c>
      <c r="Y1059" s="43" t="str">
        <f t="shared" si="265"/>
        <v/>
      </c>
    </row>
    <row r="1060" spans="1:25" hidden="1">
      <c r="A1060" s="155" t="s">
        <v>1080</v>
      </c>
      <c r="B1060" s="156" t="s">
        <v>242</v>
      </c>
      <c r="C1060" s="411" t="s">
        <v>465</v>
      </c>
      <c r="D1060" s="351"/>
      <c r="E1060" s="405"/>
      <c r="F1060" s="406"/>
      <c r="G1060" s="158">
        <f>SUM(G1061:G1063)</f>
        <v>69.468834999999999</v>
      </c>
      <c r="H1060" s="465">
        <v>596.83999999999992</v>
      </c>
      <c r="I1060" s="465">
        <f>IF(ISBLANK(H1060),"",SUM(G1060:H1060))</f>
        <v>666.30883499999993</v>
      </c>
      <c r="J1060" s="407">
        <f t="shared" si="274"/>
        <v>844.88</v>
      </c>
      <c r="K1060" s="408" t="s">
        <v>23</v>
      </c>
      <c r="L1060" s="152">
        <v>0</v>
      </c>
      <c r="M1060" s="152"/>
      <c r="N1060" s="402">
        <f t="shared" si="275"/>
        <v>0</v>
      </c>
      <c r="O1060" s="402">
        <f t="shared" si="276"/>
        <v>0</v>
      </c>
      <c r="P1060" s="403"/>
      <c r="Q1060" s="152">
        <f t="shared" si="277"/>
        <v>0</v>
      </c>
      <c r="R1060" s="152">
        <f t="shared" si="277"/>
        <v>0</v>
      </c>
      <c r="S1060" s="402">
        <f t="shared" si="278"/>
        <v>0</v>
      </c>
      <c r="T1060" s="404">
        <f t="shared" si="279"/>
        <v>0</v>
      </c>
      <c r="U1060" s="403"/>
      <c r="W1060" s="43" t="str">
        <f t="shared" si="273"/>
        <v/>
      </c>
      <c r="X1060" s="43" t="str">
        <f t="shared" si="290"/>
        <v/>
      </c>
      <c r="Y1060" s="43" t="str">
        <f t="shared" si="265"/>
        <v/>
      </c>
    </row>
    <row r="1061" spans="1:25" hidden="1">
      <c r="A1061" s="155" t="s">
        <v>183</v>
      </c>
      <c r="B1061" s="156"/>
      <c r="C1061" s="411" t="s">
        <v>251</v>
      </c>
      <c r="D1061" s="351"/>
      <c r="E1061" s="405">
        <v>500</v>
      </c>
      <c r="F1061" s="406">
        <v>0.1154</v>
      </c>
      <c r="G1061" s="158">
        <f>IF(E1061&lt;=30,(0.42*E1061+3.55)*F1061,((0.42*30+3.55)+0.35*(E1061-30))*F1061)</f>
        <v>20.847010000000001</v>
      </c>
      <c r="H1061" s="465">
        <v>0</v>
      </c>
      <c r="I1061" s="465"/>
      <c r="J1061" s="407">
        <f t="shared" si="274"/>
        <v>0</v>
      </c>
      <c r="K1061" s="408"/>
      <c r="L1061" s="152">
        <v>0</v>
      </c>
      <c r="M1061" s="213"/>
      <c r="N1061" s="402">
        <f t="shared" si="275"/>
        <v>0</v>
      </c>
      <c r="O1061" s="402">
        <f t="shared" si="276"/>
        <v>0</v>
      </c>
      <c r="P1061" s="403"/>
      <c r="Q1061" s="464"/>
      <c r="R1061" s="464"/>
      <c r="S1061" s="402">
        <f t="shared" si="278"/>
        <v>0</v>
      </c>
      <c r="T1061" s="404">
        <f t="shared" si="279"/>
        <v>0</v>
      </c>
      <c r="U1061" s="403"/>
      <c r="V1061" s="160" t="str">
        <f>IF(T1060&gt;0,"xx",IF(O1060&gt;0,"xy",""))</f>
        <v/>
      </c>
      <c r="W1061" s="43" t="str">
        <f t="shared" si="273"/>
        <v/>
      </c>
      <c r="X1061" s="43" t="str">
        <f t="shared" si="290"/>
        <v/>
      </c>
      <c r="Y1061" s="43" t="str">
        <f t="shared" si="265"/>
        <v/>
      </c>
    </row>
    <row r="1062" spans="1:25" hidden="1">
      <c r="A1062" s="155" t="s">
        <v>183</v>
      </c>
      <c r="B1062" s="156"/>
      <c r="C1062" s="411" t="s">
        <v>314</v>
      </c>
      <c r="D1062" s="351"/>
      <c r="E1062" s="405">
        <v>180</v>
      </c>
      <c r="F1062" s="406">
        <v>0.41049999999999998</v>
      </c>
      <c r="G1062" s="158">
        <f t="shared" ref="G1062:G1063" si="300">IF(E1062&lt;=30,(0.6*E1062+1.25)*F1062,((0.6*30+1.25)+0.5*(E1062-30))*F1062)</f>
        <v>38.689624999999999</v>
      </c>
      <c r="H1062" s="465">
        <v>0</v>
      </c>
      <c r="I1062" s="465"/>
      <c r="J1062" s="407">
        <f t="shared" si="274"/>
        <v>0</v>
      </c>
      <c r="K1062" s="408"/>
      <c r="L1062" s="152">
        <v>0</v>
      </c>
      <c r="M1062" s="213"/>
      <c r="N1062" s="402">
        <f t="shared" si="275"/>
        <v>0</v>
      </c>
      <c r="O1062" s="402">
        <f t="shared" si="276"/>
        <v>0</v>
      </c>
      <c r="P1062" s="403"/>
      <c r="Q1062" s="464"/>
      <c r="R1062" s="464"/>
      <c r="S1062" s="402">
        <f t="shared" si="278"/>
        <v>0</v>
      </c>
      <c r="T1062" s="404">
        <f t="shared" si="279"/>
        <v>0</v>
      </c>
      <c r="U1062" s="403"/>
      <c r="V1062" s="160" t="str">
        <f>IF(T1060&gt;0,"xx",IF(O1060&gt;0,"xy",""))</f>
        <v/>
      </c>
      <c r="W1062" s="43" t="str">
        <f t="shared" si="273"/>
        <v/>
      </c>
      <c r="X1062" s="43" t="str">
        <f t="shared" si="290"/>
        <v/>
      </c>
      <c r="Y1062" s="43" t="str">
        <f t="shared" si="265"/>
        <v/>
      </c>
    </row>
    <row r="1063" spans="1:25" hidden="1">
      <c r="A1063" s="155" t="s">
        <v>183</v>
      </c>
      <c r="B1063" s="156"/>
      <c r="C1063" s="411" t="s">
        <v>323</v>
      </c>
      <c r="D1063" s="351"/>
      <c r="E1063" s="405">
        <v>20</v>
      </c>
      <c r="F1063" s="406">
        <v>0.74960000000000004</v>
      </c>
      <c r="G1063" s="158">
        <f t="shared" si="300"/>
        <v>9.9321999999999999</v>
      </c>
      <c r="H1063" s="465">
        <v>0</v>
      </c>
      <c r="I1063" s="465"/>
      <c r="J1063" s="407">
        <f t="shared" si="274"/>
        <v>0</v>
      </c>
      <c r="K1063" s="408"/>
      <c r="L1063" s="152">
        <v>0</v>
      </c>
      <c r="M1063" s="213"/>
      <c r="N1063" s="402">
        <f t="shared" si="275"/>
        <v>0</v>
      </c>
      <c r="O1063" s="402">
        <f t="shared" si="276"/>
        <v>0</v>
      </c>
      <c r="P1063" s="403"/>
      <c r="Q1063" s="464"/>
      <c r="R1063" s="464"/>
      <c r="S1063" s="402">
        <f t="shared" si="278"/>
        <v>0</v>
      </c>
      <c r="T1063" s="404">
        <f t="shared" si="279"/>
        <v>0</v>
      </c>
      <c r="U1063" s="403"/>
      <c r="V1063" s="160" t="str">
        <f>IF(T1060&gt;0,"xx",IF(O1060&gt;0,"xy",""))</f>
        <v/>
      </c>
      <c r="W1063" s="43" t="str">
        <f t="shared" si="273"/>
        <v/>
      </c>
      <c r="X1063" s="43" t="str">
        <f t="shared" si="290"/>
        <v/>
      </c>
      <c r="Y1063" s="43" t="str">
        <f t="shared" si="265"/>
        <v/>
      </c>
    </row>
    <row r="1064" spans="1:25" hidden="1">
      <c r="A1064" s="155" t="s">
        <v>1081</v>
      </c>
      <c r="B1064" s="156" t="s">
        <v>242</v>
      </c>
      <c r="C1064" s="411" t="s">
        <v>1082</v>
      </c>
      <c r="D1064" s="351"/>
      <c r="E1064" s="405"/>
      <c r="F1064" s="406"/>
      <c r="G1064" s="158">
        <f>SUM(G1065:G1067)</f>
        <v>81.013615000000001</v>
      </c>
      <c r="H1064" s="465">
        <v>741.17</v>
      </c>
      <c r="I1064" s="465">
        <f>IF(ISBLANK(H1064),"",SUM(G1064:H1064))</f>
        <v>822.18361499999992</v>
      </c>
      <c r="J1064" s="407">
        <f t="shared" si="274"/>
        <v>1042.53</v>
      </c>
      <c r="K1064" s="408" t="s">
        <v>23</v>
      </c>
      <c r="L1064" s="152">
        <v>0</v>
      </c>
      <c r="M1064" s="152"/>
      <c r="N1064" s="402">
        <f t="shared" si="275"/>
        <v>0</v>
      </c>
      <c r="O1064" s="402">
        <f t="shared" si="276"/>
        <v>0</v>
      </c>
      <c r="P1064" s="403"/>
      <c r="Q1064" s="152">
        <f t="shared" si="277"/>
        <v>0</v>
      </c>
      <c r="R1064" s="152">
        <f t="shared" si="277"/>
        <v>0</v>
      </c>
      <c r="S1064" s="402">
        <f t="shared" si="278"/>
        <v>0</v>
      </c>
      <c r="T1064" s="404">
        <f t="shared" si="279"/>
        <v>0</v>
      </c>
      <c r="U1064" s="403"/>
      <c r="W1064" s="43" t="str">
        <f t="shared" si="273"/>
        <v/>
      </c>
      <c r="X1064" s="43" t="str">
        <f t="shared" si="290"/>
        <v/>
      </c>
      <c r="Y1064" s="43" t="str">
        <f t="shared" si="265"/>
        <v/>
      </c>
    </row>
    <row r="1065" spans="1:25" hidden="1">
      <c r="A1065" s="155" t="s">
        <v>183</v>
      </c>
      <c r="B1065" s="156"/>
      <c r="C1065" s="411" t="s">
        <v>251</v>
      </c>
      <c r="D1065" s="351"/>
      <c r="E1065" s="405">
        <v>500</v>
      </c>
      <c r="F1065" s="406">
        <v>0.15659999999999999</v>
      </c>
      <c r="G1065" s="158">
        <f>IF(E1065&lt;=30,(0.42*E1065+3.55)*F1065,((0.42*30+3.55)+0.35*(E1065-30))*F1065)</f>
        <v>28.28979</v>
      </c>
      <c r="H1065" s="465">
        <v>0</v>
      </c>
      <c r="I1065" s="465"/>
      <c r="J1065" s="407">
        <f t="shared" si="274"/>
        <v>0</v>
      </c>
      <c r="K1065" s="408"/>
      <c r="L1065" s="152">
        <v>0</v>
      </c>
      <c r="M1065" s="213"/>
      <c r="N1065" s="402">
        <f t="shared" si="275"/>
        <v>0</v>
      </c>
      <c r="O1065" s="402">
        <f t="shared" si="276"/>
        <v>0</v>
      </c>
      <c r="P1065" s="403"/>
      <c r="Q1065" s="464"/>
      <c r="R1065" s="464"/>
      <c r="S1065" s="402">
        <f t="shared" si="278"/>
        <v>0</v>
      </c>
      <c r="T1065" s="404">
        <f t="shared" si="279"/>
        <v>0</v>
      </c>
      <c r="U1065" s="403"/>
      <c r="V1065" s="160" t="str">
        <f>IF(T1064&gt;0,"xx",IF(O1064&gt;0,"xy",""))</f>
        <v/>
      </c>
      <c r="W1065" s="43" t="str">
        <f t="shared" si="273"/>
        <v/>
      </c>
      <c r="X1065" s="43" t="str">
        <f t="shared" si="290"/>
        <v/>
      </c>
      <c r="Y1065" s="43" t="str">
        <f t="shared" si="265"/>
        <v/>
      </c>
    </row>
    <row r="1066" spans="1:25" hidden="1">
      <c r="A1066" s="155" t="s">
        <v>183</v>
      </c>
      <c r="B1066" s="156"/>
      <c r="C1066" s="411" t="s">
        <v>314</v>
      </c>
      <c r="D1066" s="351"/>
      <c r="E1066" s="405">
        <v>180</v>
      </c>
      <c r="F1066" s="406">
        <v>0.55700000000000005</v>
      </c>
      <c r="G1066" s="158">
        <f t="shared" ref="G1066:G1067" si="301">IF(E1066&lt;=30,(0.6*E1066+1.25)*F1066,((0.6*30+1.25)+0.5*(E1066-30))*F1066)</f>
        <v>52.497250000000008</v>
      </c>
      <c r="H1066" s="465">
        <v>0</v>
      </c>
      <c r="I1066" s="465"/>
      <c r="J1066" s="407">
        <f t="shared" si="274"/>
        <v>0</v>
      </c>
      <c r="K1066" s="408"/>
      <c r="L1066" s="152">
        <v>0</v>
      </c>
      <c r="M1066" s="213"/>
      <c r="N1066" s="402">
        <f t="shared" si="275"/>
        <v>0</v>
      </c>
      <c r="O1066" s="402">
        <f t="shared" si="276"/>
        <v>0</v>
      </c>
      <c r="P1066" s="403"/>
      <c r="Q1066" s="464"/>
      <c r="R1066" s="464"/>
      <c r="S1066" s="402">
        <f t="shared" si="278"/>
        <v>0</v>
      </c>
      <c r="T1066" s="404">
        <f t="shared" si="279"/>
        <v>0</v>
      </c>
      <c r="U1066" s="403"/>
      <c r="V1066" s="160" t="str">
        <f>IF(T1064&gt;0,"xx",IF(O1064&gt;0,"xy",""))</f>
        <v/>
      </c>
      <c r="W1066" s="43" t="str">
        <f t="shared" si="273"/>
        <v/>
      </c>
      <c r="X1066" s="43" t="str">
        <f t="shared" si="290"/>
        <v/>
      </c>
      <c r="Y1066" s="43" t="str">
        <f t="shared" si="265"/>
        <v/>
      </c>
    </row>
    <row r="1067" spans="1:25" hidden="1">
      <c r="A1067" s="155" t="s">
        <v>183</v>
      </c>
      <c r="B1067" s="156"/>
      <c r="C1067" s="411" t="s">
        <v>323</v>
      </c>
      <c r="D1067" s="351"/>
      <c r="E1067" s="405">
        <v>20</v>
      </c>
      <c r="F1067" s="406">
        <v>1.7100000000000001E-2</v>
      </c>
      <c r="G1067" s="158">
        <f t="shared" si="301"/>
        <v>0.226575</v>
      </c>
      <c r="H1067" s="465">
        <v>0</v>
      </c>
      <c r="I1067" s="465"/>
      <c r="J1067" s="407">
        <f t="shared" si="274"/>
        <v>0</v>
      </c>
      <c r="K1067" s="408"/>
      <c r="L1067" s="152">
        <v>0</v>
      </c>
      <c r="M1067" s="213"/>
      <c r="N1067" s="402">
        <f t="shared" si="275"/>
        <v>0</v>
      </c>
      <c r="O1067" s="402">
        <f t="shared" si="276"/>
        <v>0</v>
      </c>
      <c r="P1067" s="403"/>
      <c r="Q1067" s="464"/>
      <c r="R1067" s="464"/>
      <c r="S1067" s="402">
        <f t="shared" si="278"/>
        <v>0</v>
      </c>
      <c r="T1067" s="404">
        <f t="shared" si="279"/>
        <v>0</v>
      </c>
      <c r="U1067" s="403"/>
      <c r="V1067" s="160" t="str">
        <f>IF(T1064&gt;0,"xx",IF(O1064&gt;0,"xy",""))</f>
        <v/>
      </c>
      <c r="W1067" s="43" t="str">
        <f t="shared" si="273"/>
        <v/>
      </c>
      <c r="X1067" s="43" t="str">
        <f t="shared" si="290"/>
        <v/>
      </c>
      <c r="Y1067" s="43" t="str">
        <f t="shared" si="265"/>
        <v/>
      </c>
    </row>
    <row r="1068" spans="1:25" hidden="1">
      <c r="A1068" s="155">
        <v>620100</v>
      </c>
      <c r="B1068" s="156" t="s">
        <v>242</v>
      </c>
      <c r="C1068" s="411" t="s">
        <v>466</v>
      </c>
      <c r="D1068" s="351"/>
      <c r="E1068" s="405"/>
      <c r="F1068" s="406"/>
      <c r="G1068" s="158">
        <f>SUM(G1069:G1071)</f>
        <v>119.05839499999999</v>
      </c>
      <c r="H1068" s="465">
        <v>885.5</v>
      </c>
      <c r="I1068" s="465">
        <f>IF(ISBLANK(H1068),"",SUM(G1068:H1068))*0.9</f>
        <v>904.10255549999999</v>
      </c>
      <c r="J1068" s="407">
        <f t="shared" si="274"/>
        <v>1146.4000000000001</v>
      </c>
      <c r="K1068" s="408" t="s">
        <v>23</v>
      </c>
      <c r="L1068" s="152">
        <v>0</v>
      </c>
      <c r="M1068" s="152"/>
      <c r="N1068" s="402">
        <f t="shared" si="275"/>
        <v>0</v>
      </c>
      <c r="O1068" s="402">
        <f t="shared" si="276"/>
        <v>0</v>
      </c>
      <c r="P1068" s="403"/>
      <c r="Q1068" s="152">
        <f t="shared" si="277"/>
        <v>0</v>
      </c>
      <c r="R1068" s="152">
        <f t="shared" si="277"/>
        <v>0</v>
      </c>
      <c r="S1068" s="402">
        <f t="shared" si="278"/>
        <v>0</v>
      </c>
      <c r="T1068" s="404">
        <f t="shared" si="279"/>
        <v>0</v>
      </c>
      <c r="U1068" s="403"/>
      <c r="W1068" s="43" t="str">
        <f t="shared" si="273"/>
        <v/>
      </c>
      <c r="X1068" s="43" t="str">
        <f t="shared" si="290"/>
        <v/>
      </c>
      <c r="Y1068" s="43" t="str">
        <f t="shared" si="265"/>
        <v/>
      </c>
    </row>
    <row r="1069" spans="1:25" hidden="1">
      <c r="A1069" s="155" t="s">
        <v>183</v>
      </c>
      <c r="B1069" s="156"/>
      <c r="C1069" s="411" t="s">
        <v>251</v>
      </c>
      <c r="D1069" s="351"/>
      <c r="E1069" s="405">
        <v>500</v>
      </c>
      <c r="F1069" s="406">
        <v>0.1978</v>
      </c>
      <c r="G1069" s="158">
        <f>IF(E1069&lt;=30,(0.42*E1069+3.55)*F1069,((0.42*30+3.55)+0.35*(E1069-30))*F1069)</f>
        <v>35.732570000000003</v>
      </c>
      <c r="H1069" s="465">
        <v>0</v>
      </c>
      <c r="I1069" s="465"/>
      <c r="J1069" s="407">
        <f t="shared" si="274"/>
        <v>0</v>
      </c>
      <c r="K1069" s="408"/>
      <c r="L1069" s="152">
        <v>0</v>
      </c>
      <c r="M1069" s="213"/>
      <c r="N1069" s="402">
        <f t="shared" si="275"/>
        <v>0</v>
      </c>
      <c r="O1069" s="402">
        <f t="shared" si="276"/>
        <v>0</v>
      </c>
      <c r="P1069" s="403"/>
      <c r="Q1069" s="464"/>
      <c r="R1069" s="464"/>
      <c r="S1069" s="402">
        <f t="shared" si="278"/>
        <v>0</v>
      </c>
      <c r="T1069" s="404">
        <f t="shared" si="279"/>
        <v>0</v>
      </c>
      <c r="U1069" s="403"/>
      <c r="V1069" s="160" t="str">
        <f>IF(T1068&gt;0,"xx",IF(O1068&gt;0,"xy",""))</f>
        <v/>
      </c>
      <c r="W1069" s="43" t="str">
        <f t="shared" si="273"/>
        <v/>
      </c>
      <c r="X1069" s="43" t="str">
        <f t="shared" si="290"/>
        <v/>
      </c>
      <c r="Y1069" s="43" t="str">
        <f t="shared" si="265"/>
        <v/>
      </c>
    </row>
    <row r="1070" spans="1:25" hidden="1">
      <c r="A1070" s="155" t="s">
        <v>183</v>
      </c>
      <c r="B1070" s="156"/>
      <c r="C1070" s="411" t="s">
        <v>314</v>
      </c>
      <c r="D1070" s="351"/>
      <c r="E1070" s="405">
        <v>180</v>
      </c>
      <c r="F1070" s="406">
        <v>0.70350000000000001</v>
      </c>
      <c r="G1070" s="158">
        <f t="shared" ref="G1070:G1071" si="302">IF(E1070&lt;=30,(0.6*E1070+1.25)*F1070,((0.6*30+1.25)+0.5*(E1070-30))*F1070)</f>
        <v>66.304874999999996</v>
      </c>
      <c r="H1070" s="465">
        <v>0</v>
      </c>
      <c r="I1070" s="465"/>
      <c r="J1070" s="407">
        <f t="shared" si="274"/>
        <v>0</v>
      </c>
      <c r="K1070" s="408"/>
      <c r="L1070" s="152">
        <v>0</v>
      </c>
      <c r="M1070" s="213"/>
      <c r="N1070" s="402">
        <f t="shared" si="275"/>
        <v>0</v>
      </c>
      <c r="O1070" s="402">
        <f t="shared" si="276"/>
        <v>0</v>
      </c>
      <c r="P1070" s="403"/>
      <c r="Q1070" s="464"/>
      <c r="R1070" s="464"/>
      <c r="S1070" s="402">
        <f t="shared" si="278"/>
        <v>0</v>
      </c>
      <c r="T1070" s="404">
        <f t="shared" si="279"/>
        <v>0</v>
      </c>
      <c r="U1070" s="403"/>
      <c r="V1070" s="160" t="str">
        <f>IF(T1068&gt;0,"xx",IF(O1068&gt;0,"xy",""))</f>
        <v/>
      </c>
      <c r="W1070" s="43" t="str">
        <f t="shared" si="273"/>
        <v/>
      </c>
      <c r="X1070" s="43" t="str">
        <f t="shared" si="290"/>
        <v/>
      </c>
      <c r="Y1070" s="43" t="str">
        <f t="shared" si="265"/>
        <v/>
      </c>
    </row>
    <row r="1071" spans="1:25" hidden="1">
      <c r="A1071" s="155" t="s">
        <v>183</v>
      </c>
      <c r="B1071" s="156"/>
      <c r="C1071" s="411" t="s">
        <v>323</v>
      </c>
      <c r="D1071" s="351"/>
      <c r="E1071" s="405">
        <v>20</v>
      </c>
      <c r="F1071" s="406">
        <v>1.2846</v>
      </c>
      <c r="G1071" s="158">
        <f t="shared" si="302"/>
        <v>17.020949999999999</v>
      </c>
      <c r="H1071" s="465">
        <v>0</v>
      </c>
      <c r="I1071" s="465"/>
      <c r="J1071" s="407">
        <f t="shared" si="274"/>
        <v>0</v>
      </c>
      <c r="K1071" s="408"/>
      <c r="L1071" s="152">
        <v>0</v>
      </c>
      <c r="M1071" s="213"/>
      <c r="N1071" s="402">
        <f t="shared" si="275"/>
        <v>0</v>
      </c>
      <c r="O1071" s="402">
        <f t="shared" si="276"/>
        <v>0</v>
      </c>
      <c r="P1071" s="403"/>
      <c r="Q1071" s="464"/>
      <c r="R1071" s="464"/>
      <c r="S1071" s="402">
        <f t="shared" si="278"/>
        <v>0</v>
      </c>
      <c r="T1071" s="404">
        <f t="shared" si="279"/>
        <v>0</v>
      </c>
      <c r="U1071" s="403"/>
      <c r="V1071" s="160" t="str">
        <f>IF(T1068&gt;0,"xx",IF(O1068&gt;0,"xy",""))</f>
        <v/>
      </c>
      <c r="W1071" s="43" t="str">
        <f t="shared" si="273"/>
        <v/>
      </c>
      <c r="X1071" s="43" t="str">
        <f t="shared" si="290"/>
        <v/>
      </c>
      <c r="Y1071" s="43" t="str">
        <f t="shared" si="265"/>
        <v/>
      </c>
    </row>
    <row r="1072" spans="1:25" hidden="1">
      <c r="A1072" s="155" t="s">
        <v>1083</v>
      </c>
      <c r="B1072" s="156" t="s">
        <v>242</v>
      </c>
      <c r="C1072" s="411" t="s">
        <v>1084</v>
      </c>
      <c r="D1072" s="351"/>
      <c r="E1072" s="405"/>
      <c r="F1072" s="406"/>
      <c r="G1072" s="158">
        <f>SUM(G1073:G1075)</f>
        <v>132.61440999999999</v>
      </c>
      <c r="H1072" s="465">
        <v>1060.26</v>
      </c>
      <c r="I1072" s="465">
        <f>IF(ISBLANK(H1072),"",SUM(G1072:H1072))*0.9</f>
        <v>1073.586969</v>
      </c>
      <c r="J1072" s="407">
        <f t="shared" si="274"/>
        <v>1361.31</v>
      </c>
      <c r="K1072" s="408" t="s">
        <v>23</v>
      </c>
      <c r="L1072" s="152">
        <v>0</v>
      </c>
      <c r="M1072" s="152"/>
      <c r="N1072" s="402">
        <f t="shared" si="275"/>
        <v>0</v>
      </c>
      <c r="O1072" s="402">
        <f t="shared" si="276"/>
        <v>0</v>
      </c>
      <c r="P1072" s="403"/>
      <c r="Q1072" s="152">
        <f t="shared" si="277"/>
        <v>0</v>
      </c>
      <c r="R1072" s="152">
        <f t="shared" si="277"/>
        <v>0</v>
      </c>
      <c r="S1072" s="402">
        <f t="shared" si="278"/>
        <v>0</v>
      </c>
      <c r="T1072" s="404">
        <f t="shared" si="279"/>
        <v>0</v>
      </c>
      <c r="U1072" s="403"/>
      <c r="W1072" s="43" t="str">
        <f t="shared" si="273"/>
        <v/>
      </c>
      <c r="X1072" s="43" t="str">
        <f t="shared" si="290"/>
        <v/>
      </c>
      <c r="Y1072" s="43" t="str">
        <f t="shared" si="265"/>
        <v/>
      </c>
    </row>
    <row r="1073" spans="1:25" hidden="1">
      <c r="A1073" s="155" t="s">
        <v>183</v>
      </c>
      <c r="B1073" s="156"/>
      <c r="C1073" s="411" t="s">
        <v>251</v>
      </c>
      <c r="D1073" s="351"/>
      <c r="E1073" s="405">
        <v>500</v>
      </c>
      <c r="F1073" s="406">
        <v>0.2424</v>
      </c>
      <c r="G1073" s="158">
        <f>IF(E1073&lt;=30,(0.42*E1073+3.55)*F1073,((0.42*30+3.55)+0.35*(E1073-30))*F1073)</f>
        <v>43.789560000000002</v>
      </c>
      <c r="H1073" s="465">
        <v>0</v>
      </c>
      <c r="I1073" s="465"/>
      <c r="J1073" s="407">
        <f t="shared" si="274"/>
        <v>0</v>
      </c>
      <c r="K1073" s="408"/>
      <c r="L1073" s="152">
        <v>0</v>
      </c>
      <c r="M1073" s="213"/>
      <c r="N1073" s="402">
        <f t="shared" si="275"/>
        <v>0</v>
      </c>
      <c r="O1073" s="402">
        <f t="shared" si="276"/>
        <v>0</v>
      </c>
      <c r="P1073" s="403"/>
      <c r="Q1073" s="464"/>
      <c r="R1073" s="464"/>
      <c r="S1073" s="402">
        <f t="shared" si="278"/>
        <v>0</v>
      </c>
      <c r="T1073" s="404">
        <f t="shared" si="279"/>
        <v>0</v>
      </c>
      <c r="U1073" s="403"/>
      <c r="V1073" s="160" t="str">
        <f>IF(T1072&gt;0,"xx",IF(O1072&gt;0,"xy",""))</f>
        <v/>
      </c>
      <c r="W1073" s="43" t="str">
        <f t="shared" si="273"/>
        <v/>
      </c>
      <c r="X1073" s="43" t="str">
        <f t="shared" si="290"/>
        <v/>
      </c>
      <c r="Y1073" s="43" t="str">
        <f t="shared" si="265"/>
        <v/>
      </c>
    </row>
    <row r="1074" spans="1:25" hidden="1">
      <c r="A1074" s="155" t="s">
        <v>183</v>
      </c>
      <c r="B1074" s="156"/>
      <c r="C1074" s="411" t="s">
        <v>314</v>
      </c>
      <c r="D1074" s="351"/>
      <c r="E1074" s="405">
        <v>180</v>
      </c>
      <c r="F1074" s="406">
        <v>0.86180000000000001</v>
      </c>
      <c r="G1074" s="158">
        <f t="shared" ref="G1074:G1075" si="303">IF(E1074&lt;=30,(0.6*E1074+1.25)*F1074,((0.6*30+1.25)+0.5*(E1074-30))*F1074)</f>
        <v>81.224649999999997</v>
      </c>
      <c r="H1074" s="465">
        <v>0</v>
      </c>
      <c r="I1074" s="465"/>
      <c r="J1074" s="407">
        <f t="shared" si="274"/>
        <v>0</v>
      </c>
      <c r="K1074" s="408"/>
      <c r="L1074" s="152">
        <v>0</v>
      </c>
      <c r="M1074" s="213"/>
      <c r="N1074" s="402">
        <f t="shared" si="275"/>
        <v>0</v>
      </c>
      <c r="O1074" s="402">
        <f t="shared" si="276"/>
        <v>0</v>
      </c>
      <c r="P1074" s="403"/>
      <c r="Q1074" s="464"/>
      <c r="R1074" s="464"/>
      <c r="S1074" s="402">
        <f t="shared" si="278"/>
        <v>0</v>
      </c>
      <c r="T1074" s="404">
        <f t="shared" si="279"/>
        <v>0</v>
      </c>
      <c r="U1074" s="403"/>
      <c r="V1074" s="160" t="str">
        <f>IF(T1072&gt;0,"xx",IF(O1072&gt;0,"xy",""))</f>
        <v/>
      </c>
      <c r="W1074" s="43" t="str">
        <f t="shared" si="273"/>
        <v/>
      </c>
      <c r="X1074" s="43" t="str">
        <f t="shared" si="290"/>
        <v/>
      </c>
      <c r="Y1074" s="43" t="str">
        <f t="shared" si="265"/>
        <v/>
      </c>
    </row>
    <row r="1075" spans="1:25" hidden="1">
      <c r="A1075" s="155" t="s">
        <v>183</v>
      </c>
      <c r="B1075" s="156"/>
      <c r="C1075" s="411" t="s">
        <v>323</v>
      </c>
      <c r="D1075" s="351"/>
      <c r="E1075" s="405">
        <v>20</v>
      </c>
      <c r="F1075" s="406">
        <v>0.5736</v>
      </c>
      <c r="G1075" s="158">
        <f t="shared" si="303"/>
        <v>7.6002000000000001</v>
      </c>
      <c r="H1075" s="465">
        <v>0</v>
      </c>
      <c r="I1075" s="465"/>
      <c r="J1075" s="407">
        <f t="shared" si="274"/>
        <v>0</v>
      </c>
      <c r="K1075" s="408"/>
      <c r="L1075" s="152">
        <v>0</v>
      </c>
      <c r="M1075" s="213"/>
      <c r="N1075" s="402">
        <f t="shared" si="275"/>
        <v>0</v>
      </c>
      <c r="O1075" s="402">
        <f t="shared" si="276"/>
        <v>0</v>
      </c>
      <c r="P1075" s="403"/>
      <c r="Q1075" s="464"/>
      <c r="R1075" s="464"/>
      <c r="S1075" s="402">
        <f t="shared" si="278"/>
        <v>0</v>
      </c>
      <c r="T1075" s="404">
        <f t="shared" si="279"/>
        <v>0</v>
      </c>
      <c r="U1075" s="403"/>
      <c r="V1075" s="160" t="str">
        <f>IF(T1072&gt;0,"xx",IF(O1072&gt;0,"xy",""))</f>
        <v/>
      </c>
      <c r="W1075" s="43" t="str">
        <f t="shared" si="273"/>
        <v/>
      </c>
      <c r="X1075" s="43" t="str">
        <f t="shared" si="290"/>
        <v/>
      </c>
      <c r="Y1075" s="43" t="str">
        <f t="shared" si="265"/>
        <v/>
      </c>
    </row>
    <row r="1076" spans="1:25" hidden="1">
      <c r="A1076" s="155">
        <v>620200</v>
      </c>
      <c r="B1076" s="156" t="s">
        <v>242</v>
      </c>
      <c r="C1076" s="411" t="s">
        <v>467</v>
      </c>
      <c r="D1076" s="351"/>
      <c r="E1076" s="405"/>
      <c r="F1076" s="406"/>
      <c r="G1076" s="158">
        <f>SUM(G1077:G1079)</f>
        <v>172.64160999999999</v>
      </c>
      <c r="H1076" s="465">
        <v>1235.02</v>
      </c>
      <c r="I1076" s="465">
        <f>IF(ISBLANK(H1076),"",SUM(G1076:H1076))*0.9</f>
        <v>1266.8954489999999</v>
      </c>
      <c r="J1076" s="407">
        <f t="shared" si="274"/>
        <v>1606.42</v>
      </c>
      <c r="K1076" s="408" t="s">
        <v>23</v>
      </c>
      <c r="L1076" s="152">
        <v>0</v>
      </c>
      <c r="M1076" s="152"/>
      <c r="N1076" s="402">
        <f t="shared" si="275"/>
        <v>0</v>
      </c>
      <c r="O1076" s="402">
        <f t="shared" si="276"/>
        <v>0</v>
      </c>
      <c r="P1076" s="403"/>
      <c r="Q1076" s="152">
        <f t="shared" si="277"/>
        <v>0</v>
      </c>
      <c r="R1076" s="152">
        <f t="shared" si="277"/>
        <v>0</v>
      </c>
      <c r="S1076" s="402">
        <f t="shared" si="278"/>
        <v>0</v>
      </c>
      <c r="T1076" s="404">
        <f t="shared" si="279"/>
        <v>0</v>
      </c>
      <c r="U1076" s="403"/>
      <c r="W1076" s="43" t="str">
        <f t="shared" si="273"/>
        <v/>
      </c>
      <c r="X1076" s="43" t="str">
        <f t="shared" si="290"/>
        <v/>
      </c>
      <c r="Y1076" s="43" t="str">
        <f t="shared" si="265"/>
        <v/>
      </c>
    </row>
    <row r="1077" spans="1:25" hidden="1">
      <c r="A1077" s="155" t="s">
        <v>183</v>
      </c>
      <c r="B1077" s="156"/>
      <c r="C1077" s="411" t="s">
        <v>251</v>
      </c>
      <c r="D1077" s="351"/>
      <c r="E1077" s="405">
        <v>500</v>
      </c>
      <c r="F1077" s="406">
        <v>0.28689999999999999</v>
      </c>
      <c r="G1077" s="158">
        <f>IF(E1077&lt;=30,(0.42*E1077+3.55)*F1077,((0.42*30+3.55)+0.35*(E1077-30))*F1077)</f>
        <v>51.828485000000001</v>
      </c>
      <c r="H1077" s="465">
        <v>0</v>
      </c>
      <c r="I1077" s="465"/>
      <c r="J1077" s="407">
        <f t="shared" si="274"/>
        <v>0</v>
      </c>
      <c r="K1077" s="408"/>
      <c r="L1077" s="152">
        <v>0</v>
      </c>
      <c r="M1077" s="213"/>
      <c r="N1077" s="402">
        <f t="shared" si="275"/>
        <v>0</v>
      </c>
      <c r="O1077" s="402">
        <f t="shared" si="276"/>
        <v>0</v>
      </c>
      <c r="P1077" s="403"/>
      <c r="Q1077" s="464"/>
      <c r="R1077" s="464"/>
      <c r="S1077" s="402">
        <f t="shared" si="278"/>
        <v>0</v>
      </c>
      <c r="T1077" s="404">
        <f t="shared" si="279"/>
        <v>0</v>
      </c>
      <c r="U1077" s="403"/>
      <c r="V1077" s="160" t="str">
        <f>IF(T1076&gt;0,"xx",IF(O1076&gt;0,"xy",""))</f>
        <v/>
      </c>
      <c r="W1077" s="43" t="str">
        <f t="shared" si="273"/>
        <v/>
      </c>
      <c r="X1077" s="43" t="str">
        <f t="shared" si="290"/>
        <v/>
      </c>
      <c r="Y1077" s="43" t="str">
        <f t="shared" si="265"/>
        <v/>
      </c>
    </row>
    <row r="1078" spans="1:25" hidden="1">
      <c r="A1078" s="155" t="s">
        <v>183</v>
      </c>
      <c r="B1078" s="156"/>
      <c r="C1078" s="411" t="s">
        <v>314</v>
      </c>
      <c r="D1078" s="351"/>
      <c r="E1078" s="405">
        <v>180</v>
      </c>
      <c r="F1078" s="406">
        <v>1.02</v>
      </c>
      <c r="G1078" s="158">
        <f t="shared" ref="G1078:G1079" si="304">IF(E1078&lt;=30,(0.6*E1078+1.25)*F1078,((0.6*30+1.25)+0.5*(E1078-30))*F1078)</f>
        <v>96.135000000000005</v>
      </c>
      <c r="H1078" s="465">
        <v>0</v>
      </c>
      <c r="I1078" s="465"/>
      <c r="J1078" s="407">
        <f t="shared" si="274"/>
        <v>0</v>
      </c>
      <c r="K1078" s="408"/>
      <c r="L1078" s="152">
        <v>0</v>
      </c>
      <c r="M1078" s="213"/>
      <c r="N1078" s="402">
        <f t="shared" si="275"/>
        <v>0</v>
      </c>
      <c r="O1078" s="402">
        <f t="shared" si="276"/>
        <v>0</v>
      </c>
      <c r="P1078" s="403"/>
      <c r="Q1078" s="464"/>
      <c r="R1078" s="464"/>
      <c r="S1078" s="402">
        <f t="shared" si="278"/>
        <v>0</v>
      </c>
      <c r="T1078" s="404">
        <f t="shared" si="279"/>
        <v>0</v>
      </c>
      <c r="U1078" s="403"/>
      <c r="V1078" s="160" t="str">
        <f>IF(T1076&gt;0,"xx",IF(O1076&gt;0,"xy",""))</f>
        <v/>
      </c>
      <c r="W1078" s="43" t="str">
        <f t="shared" si="273"/>
        <v/>
      </c>
      <c r="X1078" s="43" t="str">
        <f t="shared" si="290"/>
        <v/>
      </c>
      <c r="Y1078" s="43" t="str">
        <f t="shared" si="265"/>
        <v/>
      </c>
    </row>
    <row r="1079" spans="1:25" hidden="1">
      <c r="A1079" s="155" t="s">
        <v>183</v>
      </c>
      <c r="B1079" s="156"/>
      <c r="C1079" s="411" t="s">
        <v>323</v>
      </c>
      <c r="D1079" s="351"/>
      <c r="E1079" s="405">
        <v>20</v>
      </c>
      <c r="F1079" s="406">
        <v>1.8625</v>
      </c>
      <c r="G1079" s="158">
        <f t="shared" si="304"/>
        <v>24.678125000000001</v>
      </c>
      <c r="H1079" s="465">
        <v>0</v>
      </c>
      <c r="I1079" s="465"/>
      <c r="J1079" s="407">
        <f t="shared" si="274"/>
        <v>0</v>
      </c>
      <c r="K1079" s="408"/>
      <c r="L1079" s="152">
        <v>0</v>
      </c>
      <c r="M1079" s="213"/>
      <c r="N1079" s="402">
        <f t="shared" si="275"/>
        <v>0</v>
      </c>
      <c r="O1079" s="402">
        <f t="shared" si="276"/>
        <v>0</v>
      </c>
      <c r="P1079" s="403"/>
      <c r="Q1079" s="464"/>
      <c r="R1079" s="464"/>
      <c r="S1079" s="402">
        <f t="shared" si="278"/>
        <v>0</v>
      </c>
      <c r="T1079" s="404">
        <f t="shared" si="279"/>
        <v>0</v>
      </c>
      <c r="U1079" s="403"/>
      <c r="V1079" s="160" t="str">
        <f>IF(T1076&gt;0,"xx",IF(O1076&gt;0,"xy",""))</f>
        <v/>
      </c>
      <c r="W1079" s="43" t="str">
        <f t="shared" si="273"/>
        <v/>
      </c>
      <c r="X1079" s="43" t="str">
        <f t="shared" si="290"/>
        <v/>
      </c>
      <c r="Y1079" s="43" t="str">
        <f t="shared" si="265"/>
        <v/>
      </c>
    </row>
    <row r="1080" spans="1:25" hidden="1">
      <c r="A1080" s="155">
        <v>620300</v>
      </c>
      <c r="B1080" s="156" t="s">
        <v>242</v>
      </c>
      <c r="C1080" s="411" t="s">
        <v>468</v>
      </c>
      <c r="D1080" s="351"/>
      <c r="E1080" s="405"/>
      <c r="F1080" s="406"/>
      <c r="G1080" s="158">
        <f>SUM(G1081:G1083)</f>
        <v>259.08279999999996</v>
      </c>
      <c r="H1080" s="465">
        <v>1742.37</v>
      </c>
      <c r="I1080" s="465">
        <f>IF(ISBLANK(H1080),"",SUM(G1080:H1080))*0.9</f>
        <v>1801.3075199999998</v>
      </c>
      <c r="J1080" s="407">
        <f t="shared" si="274"/>
        <v>2284.06</v>
      </c>
      <c r="K1080" s="408" t="s">
        <v>23</v>
      </c>
      <c r="L1080" s="152">
        <v>0</v>
      </c>
      <c r="M1080" s="152"/>
      <c r="N1080" s="402">
        <f t="shared" si="275"/>
        <v>0</v>
      </c>
      <c r="O1080" s="402">
        <f t="shared" si="276"/>
        <v>0</v>
      </c>
      <c r="P1080" s="403"/>
      <c r="Q1080" s="152">
        <f t="shared" si="277"/>
        <v>0</v>
      </c>
      <c r="R1080" s="152">
        <f t="shared" si="277"/>
        <v>0</v>
      </c>
      <c r="S1080" s="402">
        <f t="shared" si="278"/>
        <v>0</v>
      </c>
      <c r="T1080" s="404">
        <f t="shared" si="279"/>
        <v>0</v>
      </c>
      <c r="U1080" s="403"/>
      <c r="W1080" s="43" t="str">
        <f t="shared" si="273"/>
        <v/>
      </c>
      <c r="X1080" s="43" t="str">
        <f t="shared" si="290"/>
        <v/>
      </c>
      <c r="Y1080" s="43" t="str">
        <f t="shared" si="265"/>
        <v/>
      </c>
    </row>
    <row r="1081" spans="1:25" hidden="1">
      <c r="A1081" s="155" t="s">
        <v>183</v>
      </c>
      <c r="B1081" s="156"/>
      <c r="C1081" s="411" t="s">
        <v>251</v>
      </c>
      <c r="D1081" s="351"/>
      <c r="E1081" s="405">
        <v>500</v>
      </c>
      <c r="F1081" s="406">
        <v>0.43049999999999999</v>
      </c>
      <c r="G1081" s="158">
        <f>IF(E1081&lt;=30,(0.42*E1081+3.55)*F1081,((0.42*30+3.55)+0.35*(E1081-30))*F1081)</f>
        <v>77.769824999999997</v>
      </c>
      <c r="H1081" s="465">
        <v>0</v>
      </c>
      <c r="I1081" s="465"/>
      <c r="J1081" s="407">
        <f t="shared" si="274"/>
        <v>0</v>
      </c>
      <c r="K1081" s="408"/>
      <c r="L1081" s="152">
        <v>0</v>
      </c>
      <c r="M1081" s="213"/>
      <c r="N1081" s="402">
        <f t="shared" si="275"/>
        <v>0</v>
      </c>
      <c r="O1081" s="402">
        <f t="shared" si="276"/>
        <v>0</v>
      </c>
      <c r="P1081" s="403"/>
      <c r="Q1081" s="464"/>
      <c r="R1081" s="464"/>
      <c r="S1081" s="402">
        <f t="shared" si="278"/>
        <v>0</v>
      </c>
      <c r="T1081" s="404">
        <f t="shared" si="279"/>
        <v>0</v>
      </c>
      <c r="U1081" s="403"/>
      <c r="V1081" s="160" t="str">
        <f>IF(T1080&gt;0,"xx",IF(O1080&gt;0,"xy",""))</f>
        <v/>
      </c>
      <c r="W1081" s="43" t="str">
        <f t="shared" si="273"/>
        <v/>
      </c>
      <c r="X1081" s="43" t="str">
        <f t="shared" si="290"/>
        <v/>
      </c>
      <c r="Y1081" s="43" t="str">
        <f t="shared" si="265"/>
        <v/>
      </c>
    </row>
    <row r="1082" spans="1:25" hidden="1">
      <c r="A1082" s="155" t="s">
        <v>183</v>
      </c>
      <c r="B1082" s="156"/>
      <c r="C1082" s="411" t="s">
        <v>314</v>
      </c>
      <c r="D1082" s="351"/>
      <c r="E1082" s="405">
        <v>180</v>
      </c>
      <c r="F1082" s="406">
        <v>1.5307999999999999</v>
      </c>
      <c r="G1082" s="158">
        <f t="shared" ref="G1082:G1083" si="305">IF(E1082&lt;=30,(0.6*E1082+1.25)*F1082,((0.6*30+1.25)+0.5*(E1082-30))*F1082)</f>
        <v>144.27789999999999</v>
      </c>
      <c r="H1082" s="465">
        <v>0</v>
      </c>
      <c r="I1082" s="465"/>
      <c r="J1082" s="407">
        <f t="shared" si="274"/>
        <v>0</v>
      </c>
      <c r="K1082" s="408"/>
      <c r="L1082" s="152">
        <v>0</v>
      </c>
      <c r="M1082" s="213"/>
      <c r="N1082" s="402">
        <f t="shared" si="275"/>
        <v>0</v>
      </c>
      <c r="O1082" s="402">
        <f t="shared" si="276"/>
        <v>0</v>
      </c>
      <c r="P1082" s="403"/>
      <c r="Q1082" s="464"/>
      <c r="R1082" s="464"/>
      <c r="S1082" s="402">
        <f t="shared" si="278"/>
        <v>0</v>
      </c>
      <c r="T1082" s="404">
        <f t="shared" si="279"/>
        <v>0</v>
      </c>
      <c r="U1082" s="403"/>
      <c r="V1082" s="160" t="str">
        <f>IF(T1080&gt;0,"xx",IF(O1080&gt;0,"xy",""))</f>
        <v/>
      </c>
      <c r="W1082" s="43" t="str">
        <f t="shared" si="273"/>
        <v/>
      </c>
      <c r="X1082" s="43" t="str">
        <f t="shared" si="290"/>
        <v/>
      </c>
      <c r="Y1082" s="43" t="str">
        <f t="shared" si="265"/>
        <v/>
      </c>
    </row>
    <row r="1083" spans="1:25" hidden="1">
      <c r="A1083" s="155" t="s">
        <v>183</v>
      </c>
      <c r="B1083" s="156"/>
      <c r="C1083" s="411" t="s">
        <v>323</v>
      </c>
      <c r="D1083" s="351"/>
      <c r="E1083" s="405">
        <v>20</v>
      </c>
      <c r="F1083" s="406">
        <v>2.7951000000000001</v>
      </c>
      <c r="G1083" s="158">
        <f t="shared" si="305"/>
        <v>37.035074999999999</v>
      </c>
      <c r="H1083" s="465">
        <v>0</v>
      </c>
      <c r="I1083" s="465"/>
      <c r="J1083" s="407">
        <f t="shared" si="274"/>
        <v>0</v>
      </c>
      <c r="K1083" s="408"/>
      <c r="L1083" s="152">
        <v>0</v>
      </c>
      <c r="M1083" s="213"/>
      <c r="N1083" s="402">
        <f t="shared" si="275"/>
        <v>0</v>
      </c>
      <c r="O1083" s="402">
        <f t="shared" si="276"/>
        <v>0</v>
      </c>
      <c r="P1083" s="403"/>
      <c r="Q1083" s="464"/>
      <c r="R1083" s="464"/>
      <c r="S1083" s="402">
        <f t="shared" si="278"/>
        <v>0</v>
      </c>
      <c r="T1083" s="404">
        <f t="shared" si="279"/>
        <v>0</v>
      </c>
      <c r="U1083" s="403"/>
      <c r="V1083" s="160" t="str">
        <f>IF(T1080&gt;0,"xx",IF(O1080&gt;0,"xy",""))</f>
        <v/>
      </c>
      <c r="W1083" s="43" t="str">
        <f t="shared" si="273"/>
        <v/>
      </c>
      <c r="X1083" s="43" t="str">
        <f t="shared" ref="X1083:X1163" si="306">IF(V1083="X","x",IF(V1083="y","x",IF(V1083="xx","x",IF(T1083&gt;0,"x",""))))</f>
        <v/>
      </c>
      <c r="Y1083" s="43" t="str">
        <f t="shared" si="265"/>
        <v/>
      </c>
    </row>
    <row r="1084" spans="1:25" hidden="1">
      <c r="A1084" s="155">
        <v>620400</v>
      </c>
      <c r="B1084" s="156" t="s">
        <v>242</v>
      </c>
      <c r="C1084" s="411" t="s">
        <v>469</v>
      </c>
      <c r="D1084" s="351"/>
      <c r="E1084" s="405"/>
      <c r="F1084" s="406"/>
      <c r="G1084" s="158">
        <f>SUM(G1085:G1087)</f>
        <v>349.834745</v>
      </c>
      <c r="H1084" s="465">
        <v>2220.9100000000003</v>
      </c>
      <c r="I1084" s="465">
        <f>IF(ISBLANK(H1084),"",SUM(G1084:H1084))*0.9</f>
        <v>2313.6702705000002</v>
      </c>
      <c r="J1084" s="407">
        <f t="shared" si="274"/>
        <v>2933.73</v>
      </c>
      <c r="K1084" s="408" t="s">
        <v>23</v>
      </c>
      <c r="L1084" s="152">
        <v>0</v>
      </c>
      <c r="M1084" s="152"/>
      <c r="N1084" s="402">
        <f t="shared" si="275"/>
        <v>0</v>
      </c>
      <c r="O1084" s="402">
        <f t="shared" si="276"/>
        <v>0</v>
      </c>
      <c r="P1084" s="403"/>
      <c r="Q1084" s="152">
        <f t="shared" si="277"/>
        <v>0</v>
      </c>
      <c r="R1084" s="152">
        <f t="shared" si="277"/>
        <v>0</v>
      </c>
      <c r="S1084" s="402">
        <f t="shared" si="278"/>
        <v>0</v>
      </c>
      <c r="T1084" s="404">
        <f t="shared" si="279"/>
        <v>0</v>
      </c>
      <c r="U1084" s="403"/>
      <c r="W1084" s="43" t="str">
        <f t="shared" si="273"/>
        <v/>
      </c>
      <c r="X1084" s="43" t="str">
        <f t="shared" si="306"/>
        <v/>
      </c>
      <c r="Y1084" s="43" t="str">
        <f t="shared" si="265"/>
        <v/>
      </c>
    </row>
    <row r="1085" spans="1:25" hidden="1">
      <c r="A1085" s="155" t="s">
        <v>183</v>
      </c>
      <c r="B1085" s="156"/>
      <c r="C1085" s="411" t="s">
        <v>251</v>
      </c>
      <c r="D1085" s="351"/>
      <c r="E1085" s="405">
        <v>500</v>
      </c>
      <c r="F1085" s="406">
        <v>0.58130000000000004</v>
      </c>
      <c r="G1085" s="158">
        <f>IF(E1085&lt;=30,(0.42*E1085+3.55)*F1085,((0.42*30+3.55)+0.35*(E1085-30))*F1085)</f>
        <v>105.01184500000001</v>
      </c>
      <c r="H1085" s="465">
        <v>0</v>
      </c>
      <c r="I1085" s="465"/>
      <c r="J1085" s="407">
        <f t="shared" si="274"/>
        <v>0</v>
      </c>
      <c r="K1085" s="408"/>
      <c r="L1085" s="152">
        <v>0</v>
      </c>
      <c r="M1085" s="213"/>
      <c r="N1085" s="402">
        <f t="shared" si="275"/>
        <v>0</v>
      </c>
      <c r="O1085" s="402">
        <f t="shared" si="276"/>
        <v>0</v>
      </c>
      <c r="P1085" s="403"/>
      <c r="Q1085" s="464"/>
      <c r="R1085" s="464"/>
      <c r="S1085" s="402">
        <f t="shared" si="278"/>
        <v>0</v>
      </c>
      <c r="T1085" s="404">
        <f t="shared" si="279"/>
        <v>0</v>
      </c>
      <c r="U1085" s="403"/>
      <c r="V1085" s="160" t="str">
        <f>IF(T1084&gt;0,"xx",IF(O1084&gt;0,"xy",""))</f>
        <v/>
      </c>
      <c r="W1085" s="43" t="str">
        <f t="shared" si="273"/>
        <v/>
      </c>
      <c r="X1085" s="43" t="str">
        <f t="shared" si="306"/>
        <v/>
      </c>
      <c r="Y1085" s="43" t="str">
        <f t="shared" si="265"/>
        <v/>
      </c>
    </row>
    <row r="1086" spans="1:25" hidden="1">
      <c r="A1086" s="155" t="s">
        <v>183</v>
      </c>
      <c r="B1086" s="156"/>
      <c r="C1086" s="411" t="s">
        <v>314</v>
      </c>
      <c r="D1086" s="351"/>
      <c r="E1086" s="405">
        <v>180</v>
      </c>
      <c r="F1086" s="406">
        <v>2.0670000000000002</v>
      </c>
      <c r="G1086" s="158">
        <f t="shared" ref="G1086:G1087" si="307">IF(E1086&lt;=30,(0.6*E1086+1.25)*F1086,((0.6*30+1.25)+0.5*(E1086-30))*F1086)</f>
        <v>194.81475</v>
      </c>
      <c r="H1086" s="465">
        <v>0</v>
      </c>
      <c r="I1086" s="465"/>
      <c r="J1086" s="407">
        <f t="shared" si="274"/>
        <v>0</v>
      </c>
      <c r="K1086" s="408"/>
      <c r="L1086" s="152">
        <v>0</v>
      </c>
      <c r="M1086" s="213"/>
      <c r="N1086" s="402">
        <f t="shared" si="275"/>
        <v>0</v>
      </c>
      <c r="O1086" s="402">
        <f t="shared" si="276"/>
        <v>0</v>
      </c>
      <c r="P1086" s="403"/>
      <c r="Q1086" s="464"/>
      <c r="R1086" s="464"/>
      <c r="S1086" s="402">
        <f t="shared" si="278"/>
        <v>0</v>
      </c>
      <c r="T1086" s="404">
        <f t="shared" si="279"/>
        <v>0</v>
      </c>
      <c r="U1086" s="403"/>
      <c r="V1086" s="160" t="str">
        <f>IF(T1084&gt;0,"xx",IF(O1084&gt;0,"xy",""))</f>
        <v/>
      </c>
      <c r="W1086" s="43" t="str">
        <f t="shared" si="273"/>
        <v/>
      </c>
      <c r="X1086" s="43" t="str">
        <f t="shared" si="306"/>
        <v/>
      </c>
      <c r="Y1086" s="43" t="str">
        <f t="shared" si="265"/>
        <v/>
      </c>
    </row>
    <row r="1087" spans="1:25" hidden="1">
      <c r="A1087" s="155" t="s">
        <v>183</v>
      </c>
      <c r="B1087" s="156"/>
      <c r="C1087" s="411" t="s">
        <v>323</v>
      </c>
      <c r="D1087" s="351"/>
      <c r="E1087" s="405">
        <v>20</v>
      </c>
      <c r="F1087" s="406">
        <v>3.7742</v>
      </c>
      <c r="G1087" s="158">
        <f t="shared" si="307"/>
        <v>50.008150000000001</v>
      </c>
      <c r="H1087" s="465">
        <v>0</v>
      </c>
      <c r="I1087" s="465"/>
      <c r="J1087" s="407">
        <f t="shared" si="274"/>
        <v>0</v>
      </c>
      <c r="K1087" s="408"/>
      <c r="L1087" s="152">
        <v>0</v>
      </c>
      <c r="M1087" s="213"/>
      <c r="N1087" s="402">
        <f t="shared" si="275"/>
        <v>0</v>
      </c>
      <c r="O1087" s="402">
        <f t="shared" si="276"/>
        <v>0</v>
      </c>
      <c r="P1087" s="403"/>
      <c r="Q1087" s="464"/>
      <c r="R1087" s="464"/>
      <c r="S1087" s="402">
        <f t="shared" si="278"/>
        <v>0</v>
      </c>
      <c r="T1087" s="404">
        <f t="shared" si="279"/>
        <v>0</v>
      </c>
      <c r="U1087" s="403"/>
      <c r="V1087" s="160" t="str">
        <f>IF(T1084&gt;0,"xx",IF(O1084&gt;0,"xy",""))</f>
        <v/>
      </c>
      <c r="W1087" s="43" t="str">
        <f t="shared" si="273"/>
        <v/>
      </c>
      <c r="X1087" s="43" t="str">
        <f t="shared" si="306"/>
        <v/>
      </c>
      <c r="Y1087" s="43" t="str">
        <f t="shared" si="265"/>
        <v/>
      </c>
    </row>
    <row r="1088" spans="1:25" hidden="1">
      <c r="A1088" s="155">
        <v>620500</v>
      </c>
      <c r="B1088" s="156" t="s">
        <v>242</v>
      </c>
      <c r="C1088" s="411" t="s">
        <v>470</v>
      </c>
      <c r="D1088" s="351"/>
      <c r="E1088" s="405"/>
      <c r="F1088" s="406"/>
      <c r="G1088" s="158">
        <f>SUM(G1089:G1091)</f>
        <v>702.41820499999994</v>
      </c>
      <c r="H1088" s="465">
        <v>3863.21</v>
      </c>
      <c r="I1088" s="465">
        <f>IF(ISBLANK(H1088),"",SUM(G1088:H1088))*0.9</f>
        <v>4109.0653844999997</v>
      </c>
      <c r="J1088" s="407">
        <f t="shared" si="274"/>
        <v>5210.29</v>
      </c>
      <c r="K1088" s="408" t="s">
        <v>23</v>
      </c>
      <c r="L1088" s="152">
        <v>0</v>
      </c>
      <c r="M1088" s="152"/>
      <c r="N1088" s="402">
        <f t="shared" si="275"/>
        <v>0</v>
      </c>
      <c r="O1088" s="402">
        <f t="shared" si="276"/>
        <v>0</v>
      </c>
      <c r="P1088" s="403"/>
      <c r="Q1088" s="152">
        <f t="shared" si="277"/>
        <v>0</v>
      </c>
      <c r="R1088" s="152">
        <f t="shared" si="277"/>
        <v>0</v>
      </c>
      <c r="S1088" s="402">
        <f t="shared" si="278"/>
        <v>0</v>
      </c>
      <c r="T1088" s="404">
        <f t="shared" si="279"/>
        <v>0</v>
      </c>
      <c r="U1088" s="403"/>
      <c r="W1088" s="43" t="str">
        <f t="shared" si="273"/>
        <v/>
      </c>
      <c r="X1088" s="43" t="str">
        <f t="shared" si="306"/>
        <v/>
      </c>
      <c r="Y1088" s="43" t="str">
        <f t="shared" si="265"/>
        <v/>
      </c>
    </row>
    <row r="1089" spans="1:25" hidden="1">
      <c r="A1089" s="155" t="s">
        <v>183</v>
      </c>
      <c r="B1089" s="156"/>
      <c r="C1089" s="411" t="s">
        <v>251</v>
      </c>
      <c r="D1089" s="351"/>
      <c r="E1089" s="405">
        <v>500</v>
      </c>
      <c r="F1089" s="406">
        <v>1.1672</v>
      </c>
      <c r="G1089" s="158">
        <f>IF(E1089&lt;=30,(0.42*E1089+3.55)*F1089,((0.42*30+3.55)+0.35*(E1089-30))*F1089)</f>
        <v>210.85468</v>
      </c>
      <c r="H1089" s="465">
        <v>0</v>
      </c>
      <c r="I1089" s="465"/>
      <c r="J1089" s="407">
        <f t="shared" si="274"/>
        <v>0</v>
      </c>
      <c r="K1089" s="408"/>
      <c r="L1089" s="152">
        <v>0</v>
      </c>
      <c r="M1089" s="213"/>
      <c r="N1089" s="402">
        <f t="shared" si="275"/>
        <v>0</v>
      </c>
      <c r="O1089" s="402">
        <f t="shared" si="276"/>
        <v>0</v>
      </c>
      <c r="P1089" s="403"/>
      <c r="Q1089" s="464"/>
      <c r="R1089" s="464"/>
      <c r="S1089" s="402">
        <f t="shared" si="278"/>
        <v>0</v>
      </c>
      <c r="T1089" s="404">
        <f t="shared" si="279"/>
        <v>0</v>
      </c>
      <c r="U1089" s="403"/>
      <c r="V1089" s="160" t="str">
        <f>IF(T1088&gt;0,"xx",IF(O1088&gt;0,"xy",""))</f>
        <v/>
      </c>
      <c r="W1089" s="43" t="str">
        <f t="shared" si="273"/>
        <v/>
      </c>
      <c r="X1089" s="43" t="str">
        <f t="shared" si="306"/>
        <v/>
      </c>
      <c r="Y1089" s="43" t="str">
        <f t="shared" si="265"/>
        <v/>
      </c>
    </row>
    <row r="1090" spans="1:25" hidden="1">
      <c r="A1090" s="155" t="s">
        <v>183</v>
      </c>
      <c r="B1090" s="156"/>
      <c r="C1090" s="411" t="s">
        <v>314</v>
      </c>
      <c r="D1090" s="351"/>
      <c r="E1090" s="405">
        <v>180</v>
      </c>
      <c r="F1090" s="406">
        <v>4.1501999999999999</v>
      </c>
      <c r="G1090" s="158">
        <f t="shared" ref="G1090:G1091" si="308">IF(E1090&lt;=30,(0.6*E1090+1.25)*F1090,((0.6*30+1.25)+0.5*(E1090-30))*F1090)</f>
        <v>391.15634999999997</v>
      </c>
      <c r="H1090" s="465">
        <v>0</v>
      </c>
      <c r="I1090" s="465"/>
      <c r="J1090" s="407">
        <f t="shared" si="274"/>
        <v>0</v>
      </c>
      <c r="K1090" s="408"/>
      <c r="L1090" s="152">
        <v>0</v>
      </c>
      <c r="M1090" s="213"/>
      <c r="N1090" s="402">
        <f t="shared" si="275"/>
        <v>0</v>
      </c>
      <c r="O1090" s="402">
        <f t="shared" si="276"/>
        <v>0</v>
      </c>
      <c r="P1090" s="403"/>
      <c r="Q1090" s="464"/>
      <c r="R1090" s="464"/>
      <c r="S1090" s="402">
        <f t="shared" si="278"/>
        <v>0</v>
      </c>
      <c r="T1090" s="404">
        <f t="shared" si="279"/>
        <v>0</v>
      </c>
      <c r="U1090" s="403"/>
      <c r="V1090" s="160" t="str">
        <f>IF(T1088&gt;0,"xx",IF(O1088&gt;0,"xy",""))</f>
        <v/>
      </c>
      <c r="W1090" s="43" t="str">
        <f t="shared" si="273"/>
        <v/>
      </c>
      <c r="X1090" s="43" t="str">
        <f t="shared" si="306"/>
        <v/>
      </c>
      <c r="Y1090" s="43" t="str">
        <f t="shared" si="265"/>
        <v/>
      </c>
    </row>
    <row r="1091" spans="1:25" hidden="1">
      <c r="A1091" s="155" t="s">
        <v>183</v>
      </c>
      <c r="B1091" s="156"/>
      <c r="C1091" s="411" t="s">
        <v>323</v>
      </c>
      <c r="D1091" s="351"/>
      <c r="E1091" s="405">
        <v>20</v>
      </c>
      <c r="F1091" s="406">
        <v>7.5778999999999996</v>
      </c>
      <c r="G1091" s="158">
        <f t="shared" si="308"/>
        <v>100.407175</v>
      </c>
      <c r="H1091" s="465">
        <v>0</v>
      </c>
      <c r="I1091" s="465"/>
      <c r="J1091" s="407">
        <f t="shared" si="274"/>
        <v>0</v>
      </c>
      <c r="K1091" s="408"/>
      <c r="L1091" s="152">
        <v>0</v>
      </c>
      <c r="M1091" s="213"/>
      <c r="N1091" s="402">
        <f t="shared" si="275"/>
        <v>0</v>
      </c>
      <c r="O1091" s="402">
        <f t="shared" si="276"/>
        <v>0</v>
      </c>
      <c r="P1091" s="403"/>
      <c r="Q1091" s="464"/>
      <c r="R1091" s="464"/>
      <c r="S1091" s="402">
        <f t="shared" si="278"/>
        <v>0</v>
      </c>
      <c r="T1091" s="404">
        <f t="shared" si="279"/>
        <v>0</v>
      </c>
      <c r="U1091" s="403"/>
      <c r="V1091" s="160" t="str">
        <f>IF(T1088&gt;0,"xx",IF(O1088&gt;0,"xy",""))</f>
        <v/>
      </c>
      <c r="W1091" s="43" t="str">
        <f t="shared" si="273"/>
        <v/>
      </c>
      <c r="X1091" s="43" t="str">
        <f t="shared" si="306"/>
        <v/>
      </c>
      <c r="Y1091" s="43" t="str">
        <f t="shared" si="265"/>
        <v/>
      </c>
    </row>
    <row r="1092" spans="1:25" hidden="1">
      <c r="A1092" s="155">
        <v>620600</v>
      </c>
      <c r="B1092" s="156" t="s">
        <v>242</v>
      </c>
      <c r="C1092" s="411" t="s">
        <v>471</v>
      </c>
      <c r="D1092" s="351"/>
      <c r="E1092" s="405"/>
      <c r="F1092" s="406"/>
      <c r="G1092" s="158">
        <f>SUM(G1093:G1095)</f>
        <v>1350.3709100000001</v>
      </c>
      <c r="H1092" s="465">
        <v>6753.44</v>
      </c>
      <c r="I1092" s="465">
        <f>IF(ISBLANK(H1092),"",SUM(G1092:H1092))*0.9</f>
        <v>7293.429819</v>
      </c>
      <c r="J1092" s="407">
        <f t="shared" si="274"/>
        <v>9248.07</v>
      </c>
      <c r="K1092" s="408" t="s">
        <v>23</v>
      </c>
      <c r="L1092" s="152">
        <v>0</v>
      </c>
      <c r="M1092" s="152"/>
      <c r="N1092" s="402">
        <f t="shared" si="275"/>
        <v>0</v>
      </c>
      <c r="O1092" s="402">
        <f t="shared" si="276"/>
        <v>0</v>
      </c>
      <c r="P1092" s="403"/>
      <c r="Q1092" s="152">
        <f t="shared" si="277"/>
        <v>0</v>
      </c>
      <c r="R1092" s="152">
        <f t="shared" si="277"/>
        <v>0</v>
      </c>
      <c r="S1092" s="402">
        <f t="shared" si="278"/>
        <v>0</v>
      </c>
      <c r="T1092" s="404">
        <f t="shared" si="279"/>
        <v>0</v>
      </c>
      <c r="U1092" s="403"/>
      <c r="W1092" s="43" t="str">
        <f t="shared" si="273"/>
        <v/>
      </c>
      <c r="X1092" s="43" t="str">
        <f t="shared" si="306"/>
        <v/>
      </c>
      <c r="Y1092" s="43" t="str">
        <f t="shared" si="265"/>
        <v/>
      </c>
    </row>
    <row r="1093" spans="1:25" hidden="1">
      <c r="A1093" s="155" t="s">
        <v>183</v>
      </c>
      <c r="B1093" s="156"/>
      <c r="C1093" s="411" t="s">
        <v>251</v>
      </c>
      <c r="D1093" s="351"/>
      <c r="E1093" s="405">
        <v>500</v>
      </c>
      <c r="F1093" s="406">
        <v>2.2439</v>
      </c>
      <c r="G1093" s="158">
        <f>IF(E1093&lt;=30,(0.42*E1093+3.55)*F1093,((0.42*30+3.55)+0.35*(E1093-30))*F1093)</f>
        <v>405.36053500000003</v>
      </c>
      <c r="H1093" s="465">
        <v>0</v>
      </c>
      <c r="I1093" s="465"/>
      <c r="J1093" s="407">
        <f t="shared" si="274"/>
        <v>0</v>
      </c>
      <c r="K1093" s="408"/>
      <c r="L1093" s="152">
        <v>0</v>
      </c>
      <c r="M1093" s="213"/>
      <c r="N1093" s="402">
        <f t="shared" si="275"/>
        <v>0</v>
      </c>
      <c r="O1093" s="402">
        <f t="shared" si="276"/>
        <v>0</v>
      </c>
      <c r="P1093" s="403"/>
      <c r="Q1093" s="464"/>
      <c r="R1093" s="464"/>
      <c r="S1093" s="402">
        <f t="shared" si="278"/>
        <v>0</v>
      </c>
      <c r="T1093" s="404">
        <f t="shared" si="279"/>
        <v>0</v>
      </c>
      <c r="U1093" s="403"/>
      <c r="V1093" s="160" t="str">
        <f>IF(T1092&gt;0,"xx",IF(O1092&gt;0,"xy",""))</f>
        <v/>
      </c>
      <c r="W1093" s="43" t="str">
        <f t="shared" si="273"/>
        <v/>
      </c>
      <c r="X1093" s="43" t="str">
        <f t="shared" si="306"/>
        <v/>
      </c>
      <c r="Y1093" s="43" t="str">
        <f t="shared" si="265"/>
        <v/>
      </c>
    </row>
    <row r="1094" spans="1:25" hidden="1">
      <c r="A1094" s="155" t="s">
        <v>183</v>
      </c>
      <c r="B1094" s="156"/>
      <c r="C1094" s="411" t="s">
        <v>314</v>
      </c>
      <c r="D1094" s="351"/>
      <c r="E1094" s="405">
        <v>180</v>
      </c>
      <c r="F1094" s="406">
        <v>7.9786000000000001</v>
      </c>
      <c r="G1094" s="158">
        <f t="shared" ref="G1094:G1095" si="309">IF(E1094&lt;=30,(0.6*E1094+1.25)*F1094,((0.6*30+1.25)+0.5*(E1094-30))*F1094)</f>
        <v>751.98305000000005</v>
      </c>
      <c r="H1094" s="465">
        <v>0</v>
      </c>
      <c r="I1094" s="465"/>
      <c r="J1094" s="407">
        <f t="shared" si="274"/>
        <v>0</v>
      </c>
      <c r="K1094" s="408"/>
      <c r="L1094" s="152">
        <v>0</v>
      </c>
      <c r="M1094" s="213"/>
      <c r="N1094" s="402">
        <f t="shared" si="275"/>
        <v>0</v>
      </c>
      <c r="O1094" s="402">
        <f t="shared" si="276"/>
        <v>0</v>
      </c>
      <c r="P1094" s="403"/>
      <c r="Q1094" s="464"/>
      <c r="R1094" s="464"/>
      <c r="S1094" s="402">
        <f t="shared" si="278"/>
        <v>0</v>
      </c>
      <c r="T1094" s="404">
        <f t="shared" si="279"/>
        <v>0</v>
      </c>
      <c r="U1094" s="403"/>
      <c r="V1094" s="160" t="str">
        <f>IF(T1092&gt;0,"xx",IF(O1092&gt;0,"xy",""))</f>
        <v/>
      </c>
      <c r="W1094" s="43" t="str">
        <f t="shared" si="273"/>
        <v/>
      </c>
      <c r="X1094" s="43" t="str">
        <f t="shared" si="306"/>
        <v/>
      </c>
      <c r="Y1094" s="43" t="str">
        <f t="shared" si="265"/>
        <v/>
      </c>
    </row>
    <row r="1095" spans="1:25" hidden="1">
      <c r="A1095" s="155" t="s">
        <v>183</v>
      </c>
      <c r="B1095" s="156"/>
      <c r="C1095" s="411" t="s">
        <v>323</v>
      </c>
      <c r="D1095" s="351"/>
      <c r="E1095" s="405">
        <v>20</v>
      </c>
      <c r="F1095" s="406">
        <v>14.568099999999999</v>
      </c>
      <c r="G1095" s="158">
        <f t="shared" si="309"/>
        <v>193.02732499999999</v>
      </c>
      <c r="H1095" s="465">
        <v>0</v>
      </c>
      <c r="I1095" s="465"/>
      <c r="J1095" s="407">
        <f t="shared" si="274"/>
        <v>0</v>
      </c>
      <c r="K1095" s="408"/>
      <c r="L1095" s="152">
        <v>0</v>
      </c>
      <c r="M1095" s="213"/>
      <c r="N1095" s="402">
        <f t="shared" si="275"/>
        <v>0</v>
      </c>
      <c r="O1095" s="402">
        <f t="shared" si="276"/>
        <v>0</v>
      </c>
      <c r="P1095" s="403"/>
      <c r="Q1095" s="464"/>
      <c r="R1095" s="464"/>
      <c r="S1095" s="402">
        <f t="shared" si="278"/>
        <v>0</v>
      </c>
      <c r="T1095" s="404">
        <f t="shared" si="279"/>
        <v>0</v>
      </c>
      <c r="U1095" s="403"/>
      <c r="V1095" s="160" t="str">
        <f>IF(T1092&gt;0,"xx",IF(O1092&gt;0,"xy",""))</f>
        <v/>
      </c>
      <c r="W1095" s="43" t="str">
        <f t="shared" si="273"/>
        <v/>
      </c>
      <c r="X1095" s="43" t="str">
        <f t="shared" si="306"/>
        <v/>
      </c>
      <c r="Y1095" s="43" t="str">
        <f t="shared" si="265"/>
        <v/>
      </c>
    </row>
    <row r="1096" spans="1:25" hidden="1">
      <c r="A1096" s="155" t="s">
        <v>1031</v>
      </c>
      <c r="B1096" s="156" t="s">
        <v>242</v>
      </c>
      <c r="C1096" s="411" t="s">
        <v>472</v>
      </c>
      <c r="D1096" s="351"/>
      <c r="E1096" s="405"/>
      <c r="F1096" s="406"/>
      <c r="G1096" s="158">
        <f>SUM(G1097:G1099)</f>
        <v>172.32117000000002</v>
      </c>
      <c r="H1096" s="465">
        <v>1212.0875460893662</v>
      </c>
      <c r="I1096" s="465">
        <f>IF(ISBLANK(H1096),"",SUM(G1096:H1096))*0.9</f>
        <v>1245.9678444804297</v>
      </c>
      <c r="J1096" s="407">
        <f t="shared" si="274"/>
        <v>1579.89</v>
      </c>
      <c r="K1096" s="408" t="s">
        <v>23</v>
      </c>
      <c r="L1096" s="152">
        <v>0</v>
      </c>
      <c r="M1096" s="152"/>
      <c r="N1096" s="402">
        <f t="shared" si="275"/>
        <v>0</v>
      </c>
      <c r="O1096" s="402">
        <f t="shared" si="276"/>
        <v>0</v>
      </c>
      <c r="P1096" s="403"/>
      <c r="Q1096" s="152">
        <f t="shared" si="277"/>
        <v>0</v>
      </c>
      <c r="R1096" s="152">
        <f t="shared" si="277"/>
        <v>0</v>
      </c>
      <c r="S1096" s="402">
        <f t="shared" si="278"/>
        <v>0</v>
      </c>
      <c r="T1096" s="404">
        <f t="shared" si="279"/>
        <v>0</v>
      </c>
      <c r="U1096" s="403"/>
      <c r="W1096" s="43" t="str">
        <f t="shared" si="273"/>
        <v/>
      </c>
      <c r="X1096" s="43" t="str">
        <f t="shared" si="306"/>
        <v/>
      </c>
      <c r="Y1096" s="43" t="str">
        <f t="shared" si="265"/>
        <v/>
      </c>
    </row>
    <row r="1097" spans="1:25" hidden="1">
      <c r="A1097" s="155" t="s">
        <v>183</v>
      </c>
      <c r="B1097" s="156"/>
      <c r="C1097" s="411" t="s">
        <v>251</v>
      </c>
      <c r="D1097" s="351"/>
      <c r="E1097" s="405">
        <v>500</v>
      </c>
      <c r="F1097" s="406">
        <v>0.2863</v>
      </c>
      <c r="G1097" s="158">
        <f>IF(E1097&lt;=30,(0.42*E1097+3.55)*F1097,((0.42*30+3.55)+0.35*(E1097-30))*F1097)</f>
        <v>51.720095000000001</v>
      </c>
      <c r="H1097" s="465">
        <v>0</v>
      </c>
      <c r="I1097" s="465"/>
      <c r="J1097" s="407">
        <f t="shared" si="274"/>
        <v>0</v>
      </c>
      <c r="K1097" s="408"/>
      <c r="L1097" s="152">
        <v>0</v>
      </c>
      <c r="M1097" s="213"/>
      <c r="N1097" s="402">
        <f t="shared" si="275"/>
        <v>0</v>
      </c>
      <c r="O1097" s="402">
        <f t="shared" si="276"/>
        <v>0</v>
      </c>
      <c r="P1097" s="403"/>
      <c r="Q1097" s="464"/>
      <c r="R1097" s="464"/>
      <c r="S1097" s="402">
        <f t="shared" si="278"/>
        <v>0</v>
      </c>
      <c r="T1097" s="404">
        <f t="shared" si="279"/>
        <v>0</v>
      </c>
      <c r="U1097" s="403"/>
      <c r="V1097" s="160" t="str">
        <f>IF(T1096&gt;0,"xx",IF(O1096&gt;0,"xy",""))</f>
        <v/>
      </c>
      <c r="W1097" s="43" t="str">
        <f t="shared" si="273"/>
        <v/>
      </c>
      <c r="X1097" s="43" t="str">
        <f t="shared" si="306"/>
        <v/>
      </c>
      <c r="Y1097" s="43" t="str">
        <f t="shared" si="265"/>
        <v/>
      </c>
    </row>
    <row r="1098" spans="1:25" hidden="1">
      <c r="A1098" s="155" t="s">
        <v>183</v>
      </c>
      <c r="B1098" s="156"/>
      <c r="C1098" s="411" t="s">
        <v>314</v>
      </c>
      <c r="D1098" s="351"/>
      <c r="E1098" s="405">
        <v>180</v>
      </c>
      <c r="F1098" s="406">
        <v>1.0182</v>
      </c>
      <c r="G1098" s="158">
        <f t="shared" ref="G1098:G1099" si="310">IF(E1098&lt;=30,(0.6*E1098+1.25)*F1098,((0.6*30+1.25)+0.5*(E1098-30))*F1098)</f>
        <v>95.965350000000001</v>
      </c>
      <c r="H1098" s="465">
        <v>0</v>
      </c>
      <c r="I1098" s="465"/>
      <c r="J1098" s="407">
        <f t="shared" si="274"/>
        <v>0</v>
      </c>
      <c r="K1098" s="408"/>
      <c r="L1098" s="152">
        <v>0</v>
      </c>
      <c r="M1098" s="213"/>
      <c r="N1098" s="402">
        <f t="shared" si="275"/>
        <v>0</v>
      </c>
      <c r="O1098" s="402">
        <f t="shared" si="276"/>
        <v>0</v>
      </c>
      <c r="P1098" s="403"/>
      <c r="Q1098" s="464"/>
      <c r="R1098" s="464"/>
      <c r="S1098" s="402">
        <f t="shared" si="278"/>
        <v>0</v>
      </c>
      <c r="T1098" s="404">
        <f t="shared" si="279"/>
        <v>0</v>
      </c>
      <c r="U1098" s="403"/>
      <c r="V1098" s="160" t="str">
        <f>IF(T1096&gt;0,"xx",IF(O1096&gt;0,"xy",""))</f>
        <v/>
      </c>
      <c r="W1098" s="43" t="str">
        <f t="shared" si="273"/>
        <v/>
      </c>
      <c r="X1098" s="43" t="str">
        <f t="shared" si="306"/>
        <v/>
      </c>
      <c r="Y1098" s="43" t="str">
        <f t="shared" si="265"/>
        <v/>
      </c>
    </row>
    <row r="1099" spans="1:25" hidden="1">
      <c r="A1099" s="155" t="s">
        <v>183</v>
      </c>
      <c r="B1099" s="156"/>
      <c r="C1099" s="411" t="s">
        <v>323</v>
      </c>
      <c r="D1099" s="351"/>
      <c r="E1099" s="405">
        <v>20</v>
      </c>
      <c r="F1099" s="406">
        <v>1.8593</v>
      </c>
      <c r="G1099" s="158">
        <f t="shared" si="310"/>
        <v>24.635725000000001</v>
      </c>
      <c r="H1099" s="465">
        <v>0</v>
      </c>
      <c r="I1099" s="465"/>
      <c r="J1099" s="407">
        <f t="shared" si="274"/>
        <v>0</v>
      </c>
      <c r="K1099" s="408"/>
      <c r="L1099" s="152">
        <v>0</v>
      </c>
      <c r="M1099" s="213"/>
      <c r="N1099" s="402">
        <f t="shared" si="275"/>
        <v>0</v>
      </c>
      <c r="O1099" s="402">
        <f t="shared" si="276"/>
        <v>0</v>
      </c>
      <c r="P1099" s="403"/>
      <c r="Q1099" s="464"/>
      <c r="R1099" s="464"/>
      <c r="S1099" s="402">
        <f t="shared" si="278"/>
        <v>0</v>
      </c>
      <c r="T1099" s="404">
        <f t="shared" si="279"/>
        <v>0</v>
      </c>
      <c r="U1099" s="403"/>
      <c r="V1099" s="160" t="str">
        <f>IF(T1096&gt;0,"xx",IF(O1096&gt;0,"xy",""))</f>
        <v/>
      </c>
      <c r="W1099" s="43" t="str">
        <f t="shared" si="273"/>
        <v/>
      </c>
      <c r="X1099" s="43" t="str">
        <f t="shared" si="306"/>
        <v/>
      </c>
      <c r="Y1099" s="43" t="str">
        <f t="shared" si="265"/>
        <v/>
      </c>
    </row>
    <row r="1100" spans="1:25" hidden="1">
      <c r="A1100" s="155" t="s">
        <v>1032</v>
      </c>
      <c r="B1100" s="156" t="s">
        <v>242</v>
      </c>
      <c r="C1100" s="411" t="s">
        <v>473</v>
      </c>
      <c r="D1100" s="351"/>
      <c r="E1100" s="405"/>
      <c r="F1100" s="406"/>
      <c r="G1100" s="158">
        <f>SUM(G1101:G1103)</f>
        <v>249.88457</v>
      </c>
      <c r="H1100" s="465">
        <v>1696.0667849097706</v>
      </c>
      <c r="I1100" s="465">
        <f>IF(ISBLANK(H1100),"",SUM(G1100:H1100))*0.9</f>
        <v>1751.3562194187934</v>
      </c>
      <c r="J1100" s="407">
        <f t="shared" si="274"/>
        <v>2220.7199999999998</v>
      </c>
      <c r="K1100" s="408" t="s">
        <v>23</v>
      </c>
      <c r="L1100" s="152">
        <v>0</v>
      </c>
      <c r="M1100" s="152"/>
      <c r="N1100" s="402">
        <f t="shared" si="275"/>
        <v>0</v>
      </c>
      <c r="O1100" s="402">
        <f t="shared" si="276"/>
        <v>0</v>
      </c>
      <c r="P1100" s="403"/>
      <c r="Q1100" s="152">
        <f t="shared" si="277"/>
        <v>0</v>
      </c>
      <c r="R1100" s="152">
        <f t="shared" si="277"/>
        <v>0</v>
      </c>
      <c r="S1100" s="402">
        <f t="shared" si="278"/>
        <v>0</v>
      </c>
      <c r="T1100" s="404">
        <f t="shared" si="279"/>
        <v>0</v>
      </c>
      <c r="U1100" s="403"/>
      <c r="W1100" s="43" t="str">
        <f t="shared" si="273"/>
        <v/>
      </c>
      <c r="X1100" s="43" t="str">
        <f t="shared" si="306"/>
        <v/>
      </c>
      <c r="Y1100" s="43" t="str">
        <f t="shared" si="265"/>
        <v/>
      </c>
    </row>
    <row r="1101" spans="1:25" hidden="1">
      <c r="A1101" s="155" t="s">
        <v>183</v>
      </c>
      <c r="B1101" s="156"/>
      <c r="C1101" s="411" t="s">
        <v>251</v>
      </c>
      <c r="D1101" s="351"/>
      <c r="E1101" s="405">
        <v>500</v>
      </c>
      <c r="F1101" s="406">
        <v>0.4153</v>
      </c>
      <c r="G1101" s="158">
        <f>IF(E1101&lt;=30,(0.42*E1101+3.55)*F1101,((0.42*30+3.55)+0.35*(E1101-30))*F1101)</f>
        <v>75.023944999999998</v>
      </c>
      <c r="H1101" s="465">
        <v>0</v>
      </c>
      <c r="I1101" s="465"/>
      <c r="J1101" s="407">
        <f t="shared" si="274"/>
        <v>0</v>
      </c>
      <c r="K1101" s="408"/>
      <c r="L1101" s="152">
        <v>0</v>
      </c>
      <c r="M1101" s="213"/>
      <c r="N1101" s="402">
        <f t="shared" si="275"/>
        <v>0</v>
      </c>
      <c r="O1101" s="402">
        <f t="shared" si="276"/>
        <v>0</v>
      </c>
      <c r="P1101" s="403"/>
      <c r="Q1101" s="464"/>
      <c r="R1101" s="464"/>
      <c r="S1101" s="402">
        <f t="shared" si="278"/>
        <v>0</v>
      </c>
      <c r="T1101" s="404">
        <f t="shared" si="279"/>
        <v>0</v>
      </c>
      <c r="U1101" s="403"/>
      <c r="V1101" s="160" t="str">
        <f>IF(T1100&gt;0,"xx",IF(O1100&gt;0,"xy",""))</f>
        <v/>
      </c>
      <c r="W1101" s="43" t="str">
        <f t="shared" si="273"/>
        <v/>
      </c>
      <c r="X1101" s="43" t="str">
        <f t="shared" si="306"/>
        <v/>
      </c>
      <c r="Y1101" s="43" t="str">
        <f t="shared" si="265"/>
        <v/>
      </c>
    </row>
    <row r="1102" spans="1:25" hidden="1">
      <c r="A1102" s="155" t="s">
        <v>183</v>
      </c>
      <c r="B1102" s="156"/>
      <c r="C1102" s="411" t="s">
        <v>314</v>
      </c>
      <c r="D1102" s="351"/>
      <c r="E1102" s="405">
        <v>180</v>
      </c>
      <c r="F1102" s="406">
        <v>1.4762999999999999</v>
      </c>
      <c r="G1102" s="158">
        <f t="shared" ref="G1102:G1103" si="311">IF(E1102&lt;=30,(0.6*E1102+1.25)*F1102,((0.6*30+1.25)+0.5*(E1102-30))*F1102)</f>
        <v>139.14127500000001</v>
      </c>
      <c r="H1102" s="465">
        <v>0</v>
      </c>
      <c r="I1102" s="465"/>
      <c r="J1102" s="407">
        <f t="shared" si="274"/>
        <v>0</v>
      </c>
      <c r="K1102" s="408"/>
      <c r="L1102" s="152">
        <v>0</v>
      </c>
      <c r="M1102" s="213"/>
      <c r="N1102" s="402">
        <f t="shared" si="275"/>
        <v>0</v>
      </c>
      <c r="O1102" s="402">
        <f t="shared" si="276"/>
        <v>0</v>
      </c>
      <c r="P1102" s="403"/>
      <c r="Q1102" s="464"/>
      <c r="R1102" s="464"/>
      <c r="S1102" s="402">
        <f t="shared" si="278"/>
        <v>0</v>
      </c>
      <c r="T1102" s="404">
        <f t="shared" si="279"/>
        <v>0</v>
      </c>
      <c r="U1102" s="403"/>
      <c r="V1102" s="160" t="str">
        <f>IF(T1100&gt;0,"xx",IF(O1100&gt;0,"xy",""))</f>
        <v/>
      </c>
      <c r="W1102" s="43" t="str">
        <f t="shared" si="273"/>
        <v/>
      </c>
      <c r="X1102" s="43" t="str">
        <f t="shared" si="306"/>
        <v/>
      </c>
      <c r="Y1102" s="43" t="str">
        <f t="shared" si="265"/>
        <v/>
      </c>
    </row>
    <row r="1103" spans="1:25" hidden="1">
      <c r="A1103" s="155" t="s">
        <v>183</v>
      </c>
      <c r="B1103" s="156"/>
      <c r="C1103" s="411" t="s">
        <v>323</v>
      </c>
      <c r="D1103" s="351"/>
      <c r="E1103" s="405">
        <v>20</v>
      </c>
      <c r="F1103" s="406">
        <v>2.6958000000000002</v>
      </c>
      <c r="G1103" s="158">
        <f t="shared" si="311"/>
        <v>35.719350000000006</v>
      </c>
      <c r="H1103" s="465">
        <v>0</v>
      </c>
      <c r="I1103" s="465"/>
      <c r="J1103" s="407">
        <f t="shared" si="274"/>
        <v>0</v>
      </c>
      <c r="K1103" s="408"/>
      <c r="L1103" s="152">
        <v>0</v>
      </c>
      <c r="M1103" s="213"/>
      <c r="N1103" s="402">
        <f t="shared" si="275"/>
        <v>0</v>
      </c>
      <c r="O1103" s="402">
        <f t="shared" si="276"/>
        <v>0</v>
      </c>
      <c r="P1103" s="403"/>
      <c r="Q1103" s="464"/>
      <c r="R1103" s="464"/>
      <c r="S1103" s="402">
        <f t="shared" si="278"/>
        <v>0</v>
      </c>
      <c r="T1103" s="404">
        <f t="shared" si="279"/>
        <v>0</v>
      </c>
      <c r="U1103" s="403"/>
      <c r="V1103" s="160" t="str">
        <f>IF(T1100&gt;0,"xx",IF(O1100&gt;0,"xy",""))</f>
        <v/>
      </c>
      <c r="W1103" s="43" t="str">
        <f t="shared" si="273"/>
        <v/>
      </c>
      <c r="X1103" s="43" t="str">
        <f t="shared" si="306"/>
        <v/>
      </c>
      <c r="Y1103" s="43" t="str">
        <f t="shared" si="265"/>
        <v/>
      </c>
    </row>
    <row r="1104" spans="1:25" hidden="1">
      <c r="A1104" s="155">
        <v>620700</v>
      </c>
      <c r="B1104" s="156" t="s">
        <v>242</v>
      </c>
      <c r="C1104" s="411" t="s">
        <v>474</v>
      </c>
      <c r="D1104" s="351"/>
      <c r="E1104" s="405"/>
      <c r="F1104" s="406"/>
      <c r="G1104" s="158">
        <f>SUM(G1105:G1107)</f>
        <v>374.97411500000004</v>
      </c>
      <c r="H1104" s="465">
        <v>2394.65</v>
      </c>
      <c r="I1104" s="465">
        <f>IF(ISBLANK(H1104),"",SUM(G1104:H1104))*0.9</f>
        <v>2492.6617034999999</v>
      </c>
      <c r="J1104" s="407">
        <f t="shared" si="274"/>
        <v>3160.7</v>
      </c>
      <c r="K1104" s="408" t="s">
        <v>23</v>
      </c>
      <c r="L1104" s="152">
        <v>0</v>
      </c>
      <c r="M1104" s="152"/>
      <c r="N1104" s="402">
        <f t="shared" si="275"/>
        <v>0</v>
      </c>
      <c r="O1104" s="402">
        <f t="shared" si="276"/>
        <v>0</v>
      </c>
      <c r="P1104" s="403"/>
      <c r="Q1104" s="152">
        <f t="shared" si="277"/>
        <v>0</v>
      </c>
      <c r="R1104" s="152">
        <f t="shared" si="277"/>
        <v>0</v>
      </c>
      <c r="S1104" s="402">
        <f t="shared" si="278"/>
        <v>0</v>
      </c>
      <c r="T1104" s="404">
        <f t="shared" si="279"/>
        <v>0</v>
      </c>
      <c r="U1104" s="403"/>
      <c r="W1104" s="43" t="str">
        <f t="shared" si="273"/>
        <v/>
      </c>
      <c r="X1104" s="43" t="str">
        <f t="shared" si="306"/>
        <v/>
      </c>
      <c r="Y1104" s="43" t="str">
        <f t="shared" si="265"/>
        <v/>
      </c>
    </row>
    <row r="1105" spans="1:25" hidden="1">
      <c r="A1105" s="155" t="s">
        <v>183</v>
      </c>
      <c r="B1105" s="156"/>
      <c r="C1105" s="411" t="s">
        <v>251</v>
      </c>
      <c r="D1105" s="351"/>
      <c r="E1105" s="405">
        <v>500</v>
      </c>
      <c r="F1105" s="406" t="s">
        <v>106</v>
      </c>
      <c r="G1105" s="158">
        <f>IF(E1105&lt;=30,(0.42*E1105+3.55)*F1105,((0.42*30+3.55)+0.35*(E1105-30))*F1105)</f>
        <v>112.56301500000001</v>
      </c>
      <c r="H1105" s="465">
        <v>0</v>
      </c>
      <c r="I1105" s="465"/>
      <c r="J1105" s="407">
        <f t="shared" si="274"/>
        <v>0</v>
      </c>
      <c r="K1105" s="408"/>
      <c r="L1105" s="152">
        <v>0</v>
      </c>
      <c r="M1105" s="213"/>
      <c r="N1105" s="402">
        <f t="shared" si="275"/>
        <v>0</v>
      </c>
      <c r="O1105" s="402">
        <f t="shared" si="276"/>
        <v>0</v>
      </c>
      <c r="P1105" s="403"/>
      <c r="Q1105" s="464"/>
      <c r="R1105" s="464"/>
      <c r="S1105" s="402">
        <f t="shared" si="278"/>
        <v>0</v>
      </c>
      <c r="T1105" s="404">
        <f t="shared" si="279"/>
        <v>0</v>
      </c>
      <c r="U1105" s="403"/>
      <c r="V1105" s="160" t="str">
        <f>IF(T1104&gt;0,"xx",IF(O1104&gt;0,"xy",""))</f>
        <v/>
      </c>
      <c r="W1105" s="43" t="str">
        <f t="shared" si="273"/>
        <v/>
      </c>
      <c r="X1105" s="43" t="str">
        <f t="shared" si="306"/>
        <v/>
      </c>
      <c r="Y1105" s="43" t="str">
        <f t="shared" si="265"/>
        <v/>
      </c>
    </row>
    <row r="1106" spans="1:25" hidden="1">
      <c r="A1106" s="155" t="s">
        <v>183</v>
      </c>
      <c r="B1106" s="156"/>
      <c r="C1106" s="411" t="s">
        <v>314</v>
      </c>
      <c r="D1106" s="351"/>
      <c r="E1106" s="405">
        <v>180</v>
      </c>
      <c r="F1106" s="406" t="s">
        <v>107</v>
      </c>
      <c r="G1106" s="158">
        <f t="shared" ref="G1106:G1107" si="312">IF(E1106&lt;=30,(0.6*E1106+1.25)*F1106,((0.6*30+1.25)+0.5*(E1106-30))*F1106)</f>
        <v>208.81087500000001</v>
      </c>
      <c r="H1106" s="465">
        <v>0</v>
      </c>
      <c r="I1106" s="465"/>
      <c r="J1106" s="407">
        <f t="shared" si="274"/>
        <v>0</v>
      </c>
      <c r="K1106" s="408"/>
      <c r="L1106" s="152">
        <v>0</v>
      </c>
      <c r="M1106" s="213"/>
      <c r="N1106" s="402">
        <f t="shared" si="275"/>
        <v>0</v>
      </c>
      <c r="O1106" s="402">
        <f t="shared" si="276"/>
        <v>0</v>
      </c>
      <c r="P1106" s="403"/>
      <c r="Q1106" s="464"/>
      <c r="R1106" s="464"/>
      <c r="S1106" s="402">
        <f t="shared" si="278"/>
        <v>0</v>
      </c>
      <c r="T1106" s="404">
        <f t="shared" si="279"/>
        <v>0</v>
      </c>
      <c r="U1106" s="403"/>
      <c r="V1106" s="160" t="str">
        <f>IF(T1104&gt;0,"xx",IF(O1104&gt;0,"xy",""))</f>
        <v/>
      </c>
      <c r="W1106" s="43" t="str">
        <f t="shared" si="273"/>
        <v/>
      </c>
      <c r="X1106" s="43" t="str">
        <f t="shared" si="306"/>
        <v/>
      </c>
      <c r="Y1106" s="43" t="str">
        <f t="shared" si="265"/>
        <v/>
      </c>
    </row>
    <row r="1107" spans="1:25" hidden="1">
      <c r="A1107" s="155" t="s">
        <v>183</v>
      </c>
      <c r="B1107" s="156"/>
      <c r="C1107" s="411" t="s">
        <v>323</v>
      </c>
      <c r="D1107" s="351"/>
      <c r="E1107" s="405">
        <v>20</v>
      </c>
      <c r="F1107" s="406">
        <v>4.0453000000000001</v>
      </c>
      <c r="G1107" s="158">
        <f t="shared" si="312"/>
        <v>53.600225000000002</v>
      </c>
      <c r="H1107" s="465">
        <v>0</v>
      </c>
      <c r="I1107" s="465"/>
      <c r="J1107" s="407">
        <f t="shared" si="274"/>
        <v>0</v>
      </c>
      <c r="K1107" s="408"/>
      <c r="L1107" s="152">
        <v>0</v>
      </c>
      <c r="M1107" s="213"/>
      <c r="N1107" s="402">
        <f t="shared" si="275"/>
        <v>0</v>
      </c>
      <c r="O1107" s="402">
        <f t="shared" si="276"/>
        <v>0</v>
      </c>
      <c r="P1107" s="403"/>
      <c r="Q1107" s="464"/>
      <c r="R1107" s="464"/>
      <c r="S1107" s="402">
        <f t="shared" si="278"/>
        <v>0</v>
      </c>
      <c r="T1107" s="404">
        <f t="shared" si="279"/>
        <v>0</v>
      </c>
      <c r="U1107" s="403"/>
      <c r="V1107" s="160" t="str">
        <f>IF(T1104&gt;0,"xx",IF(O1104&gt;0,"xy",""))</f>
        <v/>
      </c>
      <c r="W1107" s="43" t="str">
        <f t="shared" si="273"/>
        <v/>
      </c>
      <c r="X1107" s="43" t="str">
        <f t="shared" si="306"/>
        <v/>
      </c>
      <c r="Y1107" s="43" t="str">
        <f t="shared" si="265"/>
        <v/>
      </c>
    </row>
    <row r="1108" spans="1:25" hidden="1">
      <c r="A1108" s="155">
        <v>620800</v>
      </c>
      <c r="B1108" s="156" t="s">
        <v>242</v>
      </c>
      <c r="C1108" s="411" t="s">
        <v>475</v>
      </c>
      <c r="D1108" s="351"/>
      <c r="E1108" s="405"/>
      <c r="F1108" s="406"/>
      <c r="G1108" s="158">
        <f>SUM(G1109:G1111)</f>
        <v>493.04164500000002</v>
      </c>
      <c r="H1108" s="465">
        <v>3041.6200000000003</v>
      </c>
      <c r="I1108" s="465">
        <f>IF(ISBLANK(H1108),"",SUM(G1108:H1108))*0.9</f>
        <v>3181.1954805</v>
      </c>
      <c r="J1108" s="407">
        <f t="shared" si="274"/>
        <v>4033.76</v>
      </c>
      <c r="K1108" s="408" t="s">
        <v>23</v>
      </c>
      <c r="L1108" s="152">
        <v>0</v>
      </c>
      <c r="M1108" s="152"/>
      <c r="N1108" s="402">
        <f t="shared" si="275"/>
        <v>0</v>
      </c>
      <c r="O1108" s="402">
        <f t="shared" si="276"/>
        <v>0</v>
      </c>
      <c r="P1108" s="403"/>
      <c r="Q1108" s="152">
        <f t="shared" si="277"/>
        <v>0</v>
      </c>
      <c r="R1108" s="152">
        <f t="shared" si="277"/>
        <v>0</v>
      </c>
      <c r="S1108" s="402">
        <f t="shared" si="278"/>
        <v>0</v>
      </c>
      <c r="T1108" s="404">
        <f t="shared" si="279"/>
        <v>0</v>
      </c>
      <c r="U1108" s="403"/>
      <c r="W1108" s="43" t="str">
        <f t="shared" si="273"/>
        <v/>
      </c>
      <c r="X1108" s="43" t="str">
        <f t="shared" si="306"/>
        <v/>
      </c>
      <c r="Y1108" s="43" t="str">
        <f t="shared" si="265"/>
        <v/>
      </c>
    </row>
    <row r="1109" spans="1:25" hidden="1">
      <c r="A1109" s="155" t="s">
        <v>183</v>
      </c>
      <c r="B1109" s="156"/>
      <c r="C1109" s="411" t="s">
        <v>251</v>
      </c>
      <c r="D1109" s="351"/>
      <c r="E1109" s="405">
        <v>500</v>
      </c>
      <c r="F1109" s="406">
        <v>0.81930000000000003</v>
      </c>
      <c r="G1109" s="158">
        <f>IF(E1109&lt;=30,(0.42*E1109+3.55)*F1109,((0.42*30+3.55)+0.35*(E1109-30))*F1109)</f>
        <v>148.00654500000002</v>
      </c>
      <c r="H1109" s="465">
        <v>0</v>
      </c>
      <c r="I1109" s="465"/>
      <c r="J1109" s="407">
        <f t="shared" si="274"/>
        <v>0</v>
      </c>
      <c r="K1109" s="408"/>
      <c r="L1109" s="152">
        <v>0</v>
      </c>
      <c r="M1109" s="213"/>
      <c r="N1109" s="402">
        <f t="shared" si="275"/>
        <v>0</v>
      </c>
      <c r="O1109" s="402">
        <f t="shared" si="276"/>
        <v>0</v>
      </c>
      <c r="P1109" s="403"/>
      <c r="Q1109" s="464"/>
      <c r="R1109" s="464"/>
      <c r="S1109" s="402">
        <f t="shared" si="278"/>
        <v>0</v>
      </c>
      <c r="T1109" s="404">
        <f t="shared" si="279"/>
        <v>0</v>
      </c>
      <c r="U1109" s="403"/>
      <c r="V1109" s="160" t="str">
        <f>IF(T1108&gt;0,"xx",IF(O1108&gt;0,"xy",""))</f>
        <v/>
      </c>
      <c r="W1109" s="43" t="str">
        <f t="shared" si="273"/>
        <v/>
      </c>
      <c r="X1109" s="43" t="str">
        <f t="shared" si="306"/>
        <v/>
      </c>
      <c r="Y1109" s="43" t="str">
        <f t="shared" si="265"/>
        <v/>
      </c>
    </row>
    <row r="1110" spans="1:25" hidden="1">
      <c r="A1110" s="155" t="s">
        <v>183</v>
      </c>
      <c r="B1110" s="156"/>
      <c r="C1110" s="411" t="s">
        <v>314</v>
      </c>
      <c r="D1110" s="351"/>
      <c r="E1110" s="405">
        <v>180</v>
      </c>
      <c r="F1110" s="406">
        <v>2.9131</v>
      </c>
      <c r="G1110" s="158">
        <f t="shared" ref="G1110:G1111" si="313">IF(E1110&lt;=30,(0.6*E1110+1.25)*F1110,((0.6*30+1.25)+0.5*(E1110-30))*F1110)</f>
        <v>274.55967500000003</v>
      </c>
      <c r="H1110" s="465">
        <v>0</v>
      </c>
      <c r="I1110" s="465"/>
      <c r="J1110" s="407">
        <f t="shared" si="274"/>
        <v>0</v>
      </c>
      <c r="K1110" s="408"/>
      <c r="L1110" s="152">
        <v>0</v>
      </c>
      <c r="M1110" s="213"/>
      <c r="N1110" s="402">
        <f t="shared" si="275"/>
        <v>0</v>
      </c>
      <c r="O1110" s="402">
        <f t="shared" si="276"/>
        <v>0</v>
      </c>
      <c r="P1110" s="403"/>
      <c r="Q1110" s="464"/>
      <c r="R1110" s="464"/>
      <c r="S1110" s="402">
        <f t="shared" si="278"/>
        <v>0</v>
      </c>
      <c r="T1110" s="404">
        <f t="shared" si="279"/>
        <v>0</v>
      </c>
      <c r="U1110" s="403"/>
      <c r="V1110" s="160" t="str">
        <f>IF(T1108&gt;0,"xx",IF(O1108&gt;0,"xy",""))</f>
        <v/>
      </c>
      <c r="W1110" s="43" t="str">
        <f t="shared" si="273"/>
        <v/>
      </c>
      <c r="X1110" s="43" t="str">
        <f t="shared" si="306"/>
        <v/>
      </c>
      <c r="Y1110" s="43" t="str">
        <f t="shared" si="265"/>
        <v/>
      </c>
    </row>
    <row r="1111" spans="1:25" hidden="1">
      <c r="A1111" s="155" t="s">
        <v>183</v>
      </c>
      <c r="B1111" s="156"/>
      <c r="C1111" s="411" t="s">
        <v>323</v>
      </c>
      <c r="D1111" s="351"/>
      <c r="E1111" s="405">
        <v>20</v>
      </c>
      <c r="F1111" s="406">
        <v>5.3189000000000002</v>
      </c>
      <c r="G1111" s="158">
        <f t="shared" si="313"/>
        <v>70.475425000000001</v>
      </c>
      <c r="H1111" s="465">
        <v>0</v>
      </c>
      <c r="I1111" s="465"/>
      <c r="J1111" s="407">
        <f t="shared" si="274"/>
        <v>0</v>
      </c>
      <c r="K1111" s="408"/>
      <c r="L1111" s="152">
        <v>0</v>
      </c>
      <c r="M1111" s="213"/>
      <c r="N1111" s="402">
        <f t="shared" si="275"/>
        <v>0</v>
      </c>
      <c r="O1111" s="402">
        <f t="shared" si="276"/>
        <v>0</v>
      </c>
      <c r="P1111" s="403"/>
      <c r="Q1111" s="464"/>
      <c r="R1111" s="464"/>
      <c r="S1111" s="402">
        <f t="shared" si="278"/>
        <v>0</v>
      </c>
      <c r="T1111" s="404">
        <f t="shared" si="279"/>
        <v>0</v>
      </c>
      <c r="U1111" s="403"/>
      <c r="V1111" s="160" t="str">
        <f>IF(T1108&gt;0,"xx",IF(O1108&gt;0,"xy",""))</f>
        <v/>
      </c>
      <c r="W1111" s="43" t="str">
        <f t="shared" si="273"/>
        <v/>
      </c>
      <c r="X1111" s="43" t="str">
        <f t="shared" si="306"/>
        <v/>
      </c>
      <c r="Y1111" s="43" t="str">
        <f t="shared" si="265"/>
        <v/>
      </c>
    </row>
    <row r="1112" spans="1:25" hidden="1">
      <c r="A1112" s="155">
        <v>620900</v>
      </c>
      <c r="B1112" s="156" t="s">
        <v>242</v>
      </c>
      <c r="C1112" s="411" t="s">
        <v>476</v>
      </c>
      <c r="D1112" s="351"/>
      <c r="E1112" s="405"/>
      <c r="F1112" s="406"/>
      <c r="G1112" s="158">
        <f>SUM(G1113:G1115)</f>
        <v>969.135085</v>
      </c>
      <c r="H1112" s="465">
        <v>5189.74</v>
      </c>
      <c r="I1112" s="465">
        <f>IF(ISBLANK(H1112),"",SUM(G1112:H1112))*0.9</f>
        <v>5542.9875764999997</v>
      </c>
      <c r="J1112" s="407">
        <f t="shared" si="274"/>
        <v>7028.51</v>
      </c>
      <c r="K1112" s="408" t="s">
        <v>23</v>
      </c>
      <c r="L1112" s="152">
        <v>0</v>
      </c>
      <c r="M1112" s="152"/>
      <c r="N1112" s="402">
        <f t="shared" si="275"/>
        <v>0</v>
      </c>
      <c r="O1112" s="402">
        <f t="shared" si="276"/>
        <v>0</v>
      </c>
      <c r="P1112" s="403"/>
      <c r="Q1112" s="152">
        <f t="shared" si="277"/>
        <v>0</v>
      </c>
      <c r="R1112" s="152">
        <f t="shared" si="277"/>
        <v>0</v>
      </c>
      <c r="S1112" s="402">
        <f t="shared" si="278"/>
        <v>0</v>
      </c>
      <c r="T1112" s="404">
        <f t="shared" si="279"/>
        <v>0</v>
      </c>
      <c r="U1112" s="403"/>
      <c r="W1112" s="43" t="str">
        <f t="shared" si="273"/>
        <v/>
      </c>
      <c r="X1112" s="43" t="str">
        <f t="shared" si="306"/>
        <v/>
      </c>
      <c r="Y1112" s="43" t="str">
        <f t="shared" si="265"/>
        <v/>
      </c>
    </row>
    <row r="1113" spans="1:25" hidden="1">
      <c r="A1113" s="155" t="s">
        <v>183</v>
      </c>
      <c r="B1113" s="156"/>
      <c r="C1113" s="411" t="s">
        <v>251</v>
      </c>
      <c r="D1113" s="351"/>
      <c r="E1113" s="405">
        <v>500</v>
      </c>
      <c r="F1113" s="406">
        <v>1.6104000000000001</v>
      </c>
      <c r="G1113" s="158">
        <f>IF(E1113&lt;=30,(0.42*E1113+3.55)*F1113,((0.42*30+3.55)+0.35*(E1113-30))*F1113)</f>
        <v>290.91876000000002</v>
      </c>
      <c r="H1113" s="465">
        <v>0</v>
      </c>
      <c r="I1113" s="465"/>
      <c r="J1113" s="407">
        <f t="shared" si="274"/>
        <v>0</v>
      </c>
      <c r="K1113" s="408"/>
      <c r="L1113" s="152">
        <v>0</v>
      </c>
      <c r="M1113" s="213"/>
      <c r="N1113" s="402">
        <f t="shared" si="275"/>
        <v>0</v>
      </c>
      <c r="O1113" s="402">
        <f t="shared" si="276"/>
        <v>0</v>
      </c>
      <c r="P1113" s="403"/>
      <c r="Q1113" s="464"/>
      <c r="R1113" s="464"/>
      <c r="S1113" s="402">
        <f t="shared" si="278"/>
        <v>0</v>
      </c>
      <c r="T1113" s="404">
        <f t="shared" si="279"/>
        <v>0</v>
      </c>
      <c r="U1113" s="403"/>
      <c r="V1113" s="160" t="str">
        <f>IF(T1112&gt;0,"xx",IF(O1112&gt;0,"xy",""))</f>
        <v/>
      </c>
      <c r="W1113" s="43" t="str">
        <f t="shared" si="273"/>
        <v/>
      </c>
      <c r="X1113" s="43" t="str">
        <f t="shared" si="306"/>
        <v/>
      </c>
      <c r="Y1113" s="43" t="str">
        <f t="shared" si="265"/>
        <v/>
      </c>
    </row>
    <row r="1114" spans="1:25" hidden="1">
      <c r="A1114" s="155" t="s">
        <v>183</v>
      </c>
      <c r="B1114" s="156"/>
      <c r="C1114" s="411" t="s">
        <v>314</v>
      </c>
      <c r="D1114" s="351"/>
      <c r="E1114" s="405">
        <v>180</v>
      </c>
      <c r="F1114" s="406">
        <v>5.7260999999999997</v>
      </c>
      <c r="G1114" s="158">
        <f t="shared" ref="G1114:G1115" si="314">IF(E1114&lt;=30,(0.6*E1114+1.25)*F1114,((0.6*30+1.25)+0.5*(E1114-30))*F1114)</f>
        <v>539.68492500000002</v>
      </c>
      <c r="H1114" s="465">
        <v>0</v>
      </c>
      <c r="I1114" s="465"/>
      <c r="J1114" s="407">
        <f t="shared" si="274"/>
        <v>0</v>
      </c>
      <c r="K1114" s="408"/>
      <c r="L1114" s="152">
        <v>0</v>
      </c>
      <c r="M1114" s="213"/>
      <c r="N1114" s="402">
        <f t="shared" si="275"/>
        <v>0</v>
      </c>
      <c r="O1114" s="402">
        <f t="shared" si="276"/>
        <v>0</v>
      </c>
      <c r="P1114" s="403"/>
      <c r="Q1114" s="464"/>
      <c r="R1114" s="464"/>
      <c r="S1114" s="402">
        <f t="shared" si="278"/>
        <v>0</v>
      </c>
      <c r="T1114" s="404">
        <f t="shared" si="279"/>
        <v>0</v>
      </c>
      <c r="U1114" s="403"/>
      <c r="V1114" s="160" t="str">
        <f>IF(T1112&gt;0,"xx",IF(O1112&gt;0,"xy",""))</f>
        <v/>
      </c>
      <c r="W1114" s="43" t="str">
        <f t="shared" si="273"/>
        <v/>
      </c>
      <c r="X1114" s="43" t="str">
        <f t="shared" si="306"/>
        <v/>
      </c>
      <c r="Y1114" s="43" t="str">
        <f t="shared" si="265"/>
        <v/>
      </c>
    </row>
    <row r="1115" spans="1:25" hidden="1">
      <c r="A1115" s="155" t="s">
        <v>183</v>
      </c>
      <c r="B1115" s="156"/>
      <c r="C1115" s="411" t="s">
        <v>323</v>
      </c>
      <c r="D1115" s="351"/>
      <c r="E1115" s="405">
        <v>20</v>
      </c>
      <c r="F1115" s="406">
        <v>10.4552</v>
      </c>
      <c r="G1115" s="158">
        <f t="shared" si="314"/>
        <v>138.53139999999999</v>
      </c>
      <c r="H1115" s="465">
        <v>0</v>
      </c>
      <c r="I1115" s="465"/>
      <c r="J1115" s="407">
        <f t="shared" si="274"/>
        <v>0</v>
      </c>
      <c r="K1115" s="408"/>
      <c r="L1115" s="152">
        <v>0</v>
      </c>
      <c r="M1115" s="213"/>
      <c r="N1115" s="402">
        <f t="shared" si="275"/>
        <v>0</v>
      </c>
      <c r="O1115" s="402">
        <f t="shared" si="276"/>
        <v>0</v>
      </c>
      <c r="P1115" s="403"/>
      <c r="Q1115" s="464"/>
      <c r="R1115" s="464"/>
      <c r="S1115" s="402">
        <f t="shared" si="278"/>
        <v>0</v>
      </c>
      <c r="T1115" s="404">
        <f t="shared" si="279"/>
        <v>0</v>
      </c>
      <c r="U1115" s="403"/>
      <c r="V1115" s="160" t="str">
        <f>IF(T1112&gt;0,"xx",IF(O1112&gt;0,"xy",""))</f>
        <v/>
      </c>
      <c r="W1115" s="43" t="str">
        <f t="shared" si="273"/>
        <v/>
      </c>
      <c r="X1115" s="43" t="str">
        <f t="shared" si="306"/>
        <v/>
      </c>
      <c r="Y1115" s="43" t="str">
        <f t="shared" si="265"/>
        <v/>
      </c>
    </row>
    <row r="1116" spans="1:25" hidden="1">
      <c r="A1116" s="155">
        <v>621000</v>
      </c>
      <c r="B1116" s="156" t="s">
        <v>242</v>
      </c>
      <c r="C1116" s="411" t="s">
        <v>477</v>
      </c>
      <c r="D1116" s="351"/>
      <c r="E1116" s="405"/>
      <c r="F1116" s="406"/>
      <c r="G1116" s="158">
        <f>SUM(G1117:G1119)</f>
        <v>1854.1151</v>
      </c>
      <c r="H1116" s="465">
        <v>9015.42</v>
      </c>
      <c r="I1116" s="465">
        <f>IF(ISBLANK(H1116),"",SUM(G1116:H1116))*0.9</f>
        <v>9782.5815900000016</v>
      </c>
      <c r="J1116" s="407">
        <f t="shared" si="274"/>
        <v>12404.31</v>
      </c>
      <c r="K1116" s="408" t="s">
        <v>23</v>
      </c>
      <c r="L1116" s="152">
        <v>0</v>
      </c>
      <c r="M1116" s="152"/>
      <c r="N1116" s="402">
        <f t="shared" si="275"/>
        <v>0</v>
      </c>
      <c r="O1116" s="402">
        <f t="shared" si="276"/>
        <v>0</v>
      </c>
      <c r="P1116" s="403"/>
      <c r="Q1116" s="152">
        <f t="shared" si="277"/>
        <v>0</v>
      </c>
      <c r="R1116" s="152">
        <f t="shared" si="277"/>
        <v>0</v>
      </c>
      <c r="S1116" s="402">
        <f t="shared" si="278"/>
        <v>0</v>
      </c>
      <c r="T1116" s="404">
        <f t="shared" si="279"/>
        <v>0</v>
      </c>
      <c r="U1116" s="403"/>
      <c r="W1116" s="43" t="str">
        <f t="shared" si="273"/>
        <v/>
      </c>
      <c r="X1116" s="43" t="str">
        <f t="shared" si="306"/>
        <v/>
      </c>
      <c r="Y1116" s="43" t="str">
        <f t="shared" si="265"/>
        <v/>
      </c>
    </row>
    <row r="1117" spans="1:25" hidden="1">
      <c r="A1117" s="155" t="s">
        <v>183</v>
      </c>
      <c r="B1117" s="156"/>
      <c r="C1117" s="411" t="s">
        <v>251</v>
      </c>
      <c r="D1117" s="351"/>
      <c r="E1117" s="405">
        <v>500</v>
      </c>
      <c r="F1117" s="406">
        <v>3.081</v>
      </c>
      <c r="G1117" s="158">
        <f>IF(E1117&lt;=30,(0.42*E1117+3.55)*F1117,((0.42*30+3.55)+0.35*(E1117-30))*F1117)</f>
        <v>556.58265000000006</v>
      </c>
      <c r="H1117" s="465">
        <v>0</v>
      </c>
      <c r="I1117" s="465"/>
      <c r="J1117" s="407">
        <f t="shared" si="274"/>
        <v>0</v>
      </c>
      <c r="K1117" s="408"/>
      <c r="L1117" s="152">
        <v>0</v>
      </c>
      <c r="M1117" s="213"/>
      <c r="N1117" s="402">
        <f t="shared" si="275"/>
        <v>0</v>
      </c>
      <c r="O1117" s="402">
        <f t="shared" si="276"/>
        <v>0</v>
      </c>
      <c r="P1117" s="403"/>
      <c r="Q1117" s="464"/>
      <c r="R1117" s="464"/>
      <c r="S1117" s="402">
        <f t="shared" si="278"/>
        <v>0</v>
      </c>
      <c r="T1117" s="404">
        <f t="shared" si="279"/>
        <v>0</v>
      </c>
      <c r="U1117" s="403"/>
      <c r="V1117" s="160" t="str">
        <f>IF(T1116&gt;0,"xx",IF(O1116&gt;0,"xy",""))</f>
        <v/>
      </c>
      <c r="W1117" s="43" t="str">
        <f t="shared" si="273"/>
        <v/>
      </c>
      <c r="X1117" s="43" t="str">
        <f t="shared" si="306"/>
        <v/>
      </c>
      <c r="Y1117" s="43" t="str">
        <f t="shared" si="265"/>
        <v/>
      </c>
    </row>
    <row r="1118" spans="1:25" hidden="1">
      <c r="A1118" s="155" t="s">
        <v>183</v>
      </c>
      <c r="B1118" s="156"/>
      <c r="C1118" s="411" t="s">
        <v>314</v>
      </c>
      <c r="D1118" s="351"/>
      <c r="E1118" s="405">
        <v>180</v>
      </c>
      <c r="F1118" s="406">
        <v>10.9549</v>
      </c>
      <c r="G1118" s="158">
        <f t="shared" ref="G1118:G1119" si="315">IF(E1118&lt;=30,(0.6*E1118+1.25)*F1118,((0.6*30+1.25)+0.5*(E1118-30))*F1118)</f>
        <v>1032.499325</v>
      </c>
      <c r="H1118" s="465">
        <v>0</v>
      </c>
      <c r="I1118" s="465"/>
      <c r="J1118" s="407">
        <f t="shared" si="274"/>
        <v>0</v>
      </c>
      <c r="K1118" s="408"/>
      <c r="L1118" s="152">
        <v>0</v>
      </c>
      <c r="M1118" s="213"/>
      <c r="N1118" s="402">
        <f t="shared" si="275"/>
        <v>0</v>
      </c>
      <c r="O1118" s="402">
        <f t="shared" si="276"/>
        <v>0</v>
      </c>
      <c r="P1118" s="403"/>
      <c r="Q1118" s="464"/>
      <c r="R1118" s="464"/>
      <c r="S1118" s="402">
        <f t="shared" si="278"/>
        <v>0</v>
      </c>
      <c r="T1118" s="404">
        <f t="shared" si="279"/>
        <v>0</v>
      </c>
      <c r="U1118" s="403"/>
      <c r="V1118" s="160" t="str">
        <f>IF(T1116&gt;0,"xx",IF(O1116&gt;0,"xy",""))</f>
        <v/>
      </c>
      <c r="W1118" s="43" t="str">
        <f t="shared" si="273"/>
        <v/>
      </c>
      <c r="X1118" s="43" t="str">
        <f t="shared" si="306"/>
        <v/>
      </c>
      <c r="Y1118" s="43" t="str">
        <f t="shared" si="265"/>
        <v/>
      </c>
    </row>
    <row r="1119" spans="1:25" hidden="1">
      <c r="A1119" s="155" t="s">
        <v>183</v>
      </c>
      <c r="B1119" s="156"/>
      <c r="C1119" s="411" t="s">
        <v>323</v>
      </c>
      <c r="D1119" s="351"/>
      <c r="E1119" s="405">
        <v>20</v>
      </c>
      <c r="F1119" s="406">
        <v>20.002500000000001</v>
      </c>
      <c r="G1119" s="158">
        <f t="shared" si="315"/>
        <v>265.03312500000004</v>
      </c>
      <c r="H1119" s="465">
        <v>0</v>
      </c>
      <c r="I1119" s="465"/>
      <c r="J1119" s="407">
        <f t="shared" si="274"/>
        <v>0</v>
      </c>
      <c r="K1119" s="408"/>
      <c r="L1119" s="152">
        <v>0</v>
      </c>
      <c r="M1119" s="213"/>
      <c r="N1119" s="402">
        <f t="shared" si="275"/>
        <v>0</v>
      </c>
      <c r="O1119" s="402">
        <f t="shared" si="276"/>
        <v>0</v>
      </c>
      <c r="P1119" s="403"/>
      <c r="Q1119" s="464"/>
      <c r="R1119" s="464"/>
      <c r="S1119" s="402">
        <f t="shared" si="278"/>
        <v>0</v>
      </c>
      <c r="T1119" s="404">
        <f t="shared" si="279"/>
        <v>0</v>
      </c>
      <c r="U1119" s="403"/>
      <c r="V1119" s="160" t="str">
        <f>IF(T1116&gt;0,"xx",IF(O1116&gt;0,"xy",""))</f>
        <v/>
      </c>
      <c r="W1119" s="43" t="str">
        <f t="shared" si="273"/>
        <v/>
      </c>
      <c r="X1119" s="43" t="str">
        <f t="shared" si="306"/>
        <v/>
      </c>
      <c r="Y1119" s="43" t="str">
        <f t="shared" si="265"/>
        <v/>
      </c>
    </row>
    <row r="1120" spans="1:25" hidden="1">
      <c r="A1120" s="155" t="s">
        <v>1033</v>
      </c>
      <c r="B1120" s="156" t="s">
        <v>242</v>
      </c>
      <c r="C1120" s="411" t="s">
        <v>478</v>
      </c>
      <c r="D1120" s="351"/>
      <c r="E1120" s="405"/>
      <c r="F1120" s="406"/>
      <c r="G1120" s="158">
        <f>SUM(G1121:G1123)</f>
        <v>225.59336999999999</v>
      </c>
      <c r="H1120" s="465">
        <v>1538.6750921787329</v>
      </c>
      <c r="I1120" s="465">
        <f>IF(ISBLANK(H1120),"",SUM(G1120:H1120))*0.9</f>
        <v>1587.8416159608598</v>
      </c>
      <c r="J1120" s="407">
        <f t="shared" si="274"/>
        <v>2013.38</v>
      </c>
      <c r="K1120" s="408" t="s">
        <v>23</v>
      </c>
      <c r="L1120" s="152">
        <v>0</v>
      </c>
      <c r="M1120" s="152"/>
      <c r="N1120" s="402">
        <f t="shared" si="275"/>
        <v>0</v>
      </c>
      <c r="O1120" s="402">
        <f t="shared" si="276"/>
        <v>0</v>
      </c>
      <c r="P1120" s="403"/>
      <c r="Q1120" s="152">
        <f t="shared" si="277"/>
        <v>0</v>
      </c>
      <c r="R1120" s="152">
        <f t="shared" si="277"/>
        <v>0</v>
      </c>
      <c r="S1120" s="402">
        <f t="shared" si="278"/>
        <v>0</v>
      </c>
      <c r="T1120" s="404">
        <f t="shared" si="279"/>
        <v>0</v>
      </c>
      <c r="U1120" s="403"/>
      <c r="W1120" s="43" t="str">
        <f t="shared" si="273"/>
        <v/>
      </c>
      <c r="X1120" s="43" t="str">
        <f t="shared" si="306"/>
        <v/>
      </c>
      <c r="Y1120" s="43" t="str">
        <f t="shared" si="265"/>
        <v/>
      </c>
    </row>
    <row r="1121" spans="1:25" hidden="1">
      <c r="A1121" s="155" t="s">
        <v>183</v>
      </c>
      <c r="B1121" s="156"/>
      <c r="C1121" s="411" t="s">
        <v>251</v>
      </c>
      <c r="D1121" s="351"/>
      <c r="E1121" s="405">
        <v>500</v>
      </c>
      <c r="F1121" s="406">
        <v>0.37480000000000002</v>
      </c>
      <c r="G1121" s="158">
        <f>IF(E1121&lt;=30,(0.42*E1121+3.55)*F1121,((0.42*30+3.55)+0.35*(E1121-30))*F1121)</f>
        <v>67.707620000000006</v>
      </c>
      <c r="H1121" s="465">
        <v>0</v>
      </c>
      <c r="I1121" s="465"/>
      <c r="J1121" s="407">
        <f t="shared" si="274"/>
        <v>0</v>
      </c>
      <c r="K1121" s="408"/>
      <c r="L1121" s="152">
        <v>0</v>
      </c>
      <c r="M1121" s="213"/>
      <c r="N1121" s="402">
        <f t="shared" si="275"/>
        <v>0</v>
      </c>
      <c r="O1121" s="402">
        <f t="shared" si="276"/>
        <v>0</v>
      </c>
      <c r="P1121" s="403"/>
      <c r="Q1121" s="464"/>
      <c r="R1121" s="464"/>
      <c r="S1121" s="402">
        <f t="shared" si="278"/>
        <v>0</v>
      </c>
      <c r="T1121" s="404">
        <f t="shared" si="279"/>
        <v>0</v>
      </c>
      <c r="U1121" s="403"/>
      <c r="V1121" s="160" t="str">
        <f>IF(T1120&gt;0,"xx",IF(O1120&gt;0,"xy",""))</f>
        <v/>
      </c>
      <c r="W1121" s="43" t="str">
        <f t="shared" si="273"/>
        <v/>
      </c>
      <c r="X1121" s="43" t="str">
        <f t="shared" si="306"/>
        <v/>
      </c>
      <c r="Y1121" s="43" t="str">
        <f t="shared" si="265"/>
        <v/>
      </c>
    </row>
    <row r="1122" spans="1:25" hidden="1">
      <c r="A1122" s="155" t="s">
        <v>183</v>
      </c>
      <c r="B1122" s="156"/>
      <c r="C1122" s="411" t="s">
        <v>314</v>
      </c>
      <c r="D1122" s="351"/>
      <c r="E1122" s="405">
        <v>180</v>
      </c>
      <c r="F1122" s="406">
        <v>1.333</v>
      </c>
      <c r="G1122" s="158">
        <f t="shared" ref="G1122:G1123" si="316">IF(E1122&lt;=30,(0.6*E1122+1.25)*F1122,((0.6*30+1.25)+0.5*(E1122-30))*F1122)</f>
        <v>125.63525</v>
      </c>
      <c r="H1122" s="465">
        <v>0</v>
      </c>
      <c r="I1122" s="465"/>
      <c r="J1122" s="407">
        <f t="shared" si="274"/>
        <v>0</v>
      </c>
      <c r="K1122" s="408"/>
      <c r="L1122" s="152">
        <v>0</v>
      </c>
      <c r="M1122" s="213"/>
      <c r="N1122" s="402">
        <f t="shared" si="275"/>
        <v>0</v>
      </c>
      <c r="O1122" s="402">
        <f t="shared" si="276"/>
        <v>0</v>
      </c>
      <c r="P1122" s="403"/>
      <c r="Q1122" s="464"/>
      <c r="R1122" s="464"/>
      <c r="S1122" s="402">
        <f t="shared" si="278"/>
        <v>0</v>
      </c>
      <c r="T1122" s="404">
        <f t="shared" si="279"/>
        <v>0</v>
      </c>
      <c r="U1122" s="403"/>
      <c r="V1122" s="160" t="str">
        <f>IF(T1120&gt;0,"xx",IF(O1120&gt;0,"xy",""))</f>
        <v/>
      </c>
      <c r="W1122" s="43" t="str">
        <f t="shared" si="273"/>
        <v/>
      </c>
      <c r="X1122" s="43" t="str">
        <f t="shared" si="306"/>
        <v/>
      </c>
      <c r="Y1122" s="43" t="str">
        <f t="shared" si="265"/>
        <v/>
      </c>
    </row>
    <row r="1123" spans="1:25" hidden="1">
      <c r="A1123" s="155" t="s">
        <v>183</v>
      </c>
      <c r="B1123" s="156"/>
      <c r="C1123" s="411" t="s">
        <v>323</v>
      </c>
      <c r="D1123" s="351"/>
      <c r="E1123" s="405">
        <v>20</v>
      </c>
      <c r="F1123" s="406">
        <v>2.4340000000000002</v>
      </c>
      <c r="G1123" s="158">
        <f t="shared" si="316"/>
        <v>32.250500000000002</v>
      </c>
      <c r="H1123" s="465">
        <v>0</v>
      </c>
      <c r="I1123" s="465"/>
      <c r="J1123" s="407">
        <f t="shared" si="274"/>
        <v>0</v>
      </c>
      <c r="K1123" s="408"/>
      <c r="L1123" s="152">
        <v>0</v>
      </c>
      <c r="M1123" s="213"/>
      <c r="N1123" s="402">
        <f t="shared" si="275"/>
        <v>0</v>
      </c>
      <c r="O1123" s="402">
        <f t="shared" si="276"/>
        <v>0</v>
      </c>
      <c r="P1123" s="403"/>
      <c r="Q1123" s="464"/>
      <c r="R1123" s="464"/>
      <c r="S1123" s="402">
        <f t="shared" si="278"/>
        <v>0</v>
      </c>
      <c r="T1123" s="404">
        <f t="shared" si="279"/>
        <v>0</v>
      </c>
      <c r="U1123" s="403"/>
      <c r="V1123" s="160" t="str">
        <f>IF(T1120&gt;0,"xx",IF(O1120&gt;0,"xy",""))</f>
        <v/>
      </c>
      <c r="W1123" s="43" t="str">
        <f t="shared" si="273"/>
        <v/>
      </c>
      <c r="X1123" s="43" t="str">
        <f t="shared" si="306"/>
        <v/>
      </c>
      <c r="Y1123" s="43" t="str">
        <f t="shared" si="265"/>
        <v/>
      </c>
    </row>
    <row r="1124" spans="1:25" hidden="1">
      <c r="A1124" s="155" t="s">
        <v>1034</v>
      </c>
      <c r="B1124" s="156" t="s">
        <v>242</v>
      </c>
      <c r="C1124" s="411" t="s">
        <v>479</v>
      </c>
      <c r="D1124" s="351"/>
      <c r="E1124" s="405"/>
      <c r="F1124" s="406">
        <v>0</v>
      </c>
      <c r="G1124" s="158">
        <f>SUM(G1125:G1127)</f>
        <v>327.11756500000001</v>
      </c>
      <c r="H1124" s="465">
        <v>2157.1135698195412</v>
      </c>
      <c r="I1124" s="465">
        <f>IF(ISBLANK(H1124),"",SUM(G1124:H1124))*0.9</f>
        <v>2235.808021337587</v>
      </c>
      <c r="J1124" s="407">
        <f t="shared" si="274"/>
        <v>2835</v>
      </c>
      <c r="K1124" s="408" t="s">
        <v>23</v>
      </c>
      <c r="L1124" s="152">
        <v>0</v>
      </c>
      <c r="M1124" s="152"/>
      <c r="N1124" s="402">
        <f t="shared" si="275"/>
        <v>0</v>
      </c>
      <c r="O1124" s="402">
        <f t="shared" si="276"/>
        <v>0</v>
      </c>
      <c r="P1124" s="403"/>
      <c r="Q1124" s="152">
        <f t="shared" si="277"/>
        <v>0</v>
      </c>
      <c r="R1124" s="152">
        <f t="shared" si="277"/>
        <v>0</v>
      </c>
      <c r="S1124" s="402">
        <f t="shared" si="278"/>
        <v>0</v>
      </c>
      <c r="T1124" s="404">
        <f t="shared" si="279"/>
        <v>0</v>
      </c>
      <c r="U1124" s="403"/>
      <c r="W1124" s="43" t="str">
        <f t="shared" si="273"/>
        <v/>
      </c>
      <c r="X1124" s="43" t="str">
        <f t="shared" si="306"/>
        <v/>
      </c>
      <c r="Y1124" s="43" t="str">
        <f t="shared" si="265"/>
        <v/>
      </c>
    </row>
    <row r="1125" spans="1:25" hidden="1">
      <c r="A1125" s="155" t="s">
        <v>183</v>
      </c>
      <c r="B1125" s="156"/>
      <c r="C1125" s="411" t="s">
        <v>251</v>
      </c>
      <c r="D1125" s="351"/>
      <c r="E1125" s="405">
        <v>500</v>
      </c>
      <c r="F1125" s="406">
        <v>0.54359999999999997</v>
      </c>
      <c r="G1125" s="158">
        <f>IF(E1125&lt;=30,(0.42*E1125+3.55)*F1125,((0.42*30+3.55)+0.35*(E1125-30))*F1125)</f>
        <v>98.201340000000002</v>
      </c>
      <c r="H1125" s="465">
        <v>0</v>
      </c>
      <c r="I1125" s="465"/>
      <c r="J1125" s="407">
        <f t="shared" si="274"/>
        <v>0</v>
      </c>
      <c r="K1125" s="408"/>
      <c r="L1125" s="152">
        <v>0</v>
      </c>
      <c r="M1125" s="213"/>
      <c r="N1125" s="402">
        <f t="shared" si="275"/>
        <v>0</v>
      </c>
      <c r="O1125" s="402">
        <f t="shared" si="276"/>
        <v>0</v>
      </c>
      <c r="P1125" s="403"/>
      <c r="Q1125" s="464"/>
      <c r="R1125" s="464"/>
      <c r="S1125" s="402">
        <f t="shared" si="278"/>
        <v>0</v>
      </c>
      <c r="T1125" s="404">
        <f t="shared" si="279"/>
        <v>0</v>
      </c>
      <c r="U1125" s="403"/>
      <c r="V1125" s="160" t="str">
        <f>IF(T1124&gt;0,"xx",IF(O1124&gt;0,"xy",""))</f>
        <v/>
      </c>
      <c r="W1125" s="43" t="str">
        <f t="shared" si="273"/>
        <v/>
      </c>
      <c r="X1125" s="43" t="str">
        <f t="shared" si="306"/>
        <v/>
      </c>
      <c r="Y1125" s="43" t="str">
        <f t="shared" si="265"/>
        <v/>
      </c>
    </row>
    <row r="1126" spans="1:25" hidden="1">
      <c r="A1126" s="155" t="s">
        <v>183</v>
      </c>
      <c r="B1126" s="156"/>
      <c r="C1126" s="411" t="s">
        <v>314</v>
      </c>
      <c r="D1126" s="351"/>
      <c r="E1126" s="405">
        <v>180</v>
      </c>
      <c r="F1126" s="406">
        <v>1.9327000000000001</v>
      </c>
      <c r="G1126" s="158">
        <f t="shared" ref="G1126:G1127" si="317">IF(E1126&lt;=30,(0.6*E1126+1.25)*F1126,((0.6*30+1.25)+0.5*(E1126-30))*F1126)</f>
        <v>182.15697500000002</v>
      </c>
      <c r="H1126" s="465">
        <v>0</v>
      </c>
      <c r="I1126" s="465"/>
      <c r="J1126" s="407">
        <f t="shared" si="274"/>
        <v>0</v>
      </c>
      <c r="K1126" s="408"/>
      <c r="L1126" s="152">
        <v>0</v>
      </c>
      <c r="M1126" s="213"/>
      <c r="N1126" s="402">
        <f t="shared" si="275"/>
        <v>0</v>
      </c>
      <c r="O1126" s="402">
        <f t="shared" si="276"/>
        <v>0</v>
      </c>
      <c r="P1126" s="403"/>
      <c r="Q1126" s="464"/>
      <c r="R1126" s="464"/>
      <c r="S1126" s="402">
        <f t="shared" si="278"/>
        <v>0</v>
      </c>
      <c r="T1126" s="404">
        <f t="shared" si="279"/>
        <v>0</v>
      </c>
      <c r="U1126" s="403"/>
      <c r="V1126" s="160" t="str">
        <f>IF(T1124&gt;0,"xx",IF(O1124&gt;0,"xy",""))</f>
        <v/>
      </c>
      <c r="W1126" s="43" t="str">
        <f t="shared" si="273"/>
        <v/>
      </c>
      <c r="X1126" s="43" t="str">
        <f t="shared" si="306"/>
        <v/>
      </c>
      <c r="Y1126" s="43" t="str">
        <f t="shared" si="265"/>
        <v/>
      </c>
    </row>
    <row r="1127" spans="1:25" hidden="1">
      <c r="A1127" s="155" t="s">
        <v>183</v>
      </c>
      <c r="B1127" s="156"/>
      <c r="C1127" s="411" t="s">
        <v>323</v>
      </c>
      <c r="D1127" s="351"/>
      <c r="E1127" s="405">
        <v>20</v>
      </c>
      <c r="F1127" s="406">
        <v>3.5289999999999999</v>
      </c>
      <c r="G1127" s="158">
        <f t="shared" si="317"/>
        <v>46.759250000000002</v>
      </c>
      <c r="H1127" s="465">
        <v>0</v>
      </c>
      <c r="I1127" s="465"/>
      <c r="J1127" s="407">
        <f t="shared" si="274"/>
        <v>0</v>
      </c>
      <c r="K1127" s="408"/>
      <c r="L1127" s="152">
        <v>0</v>
      </c>
      <c r="M1127" s="213"/>
      <c r="N1127" s="402">
        <f t="shared" si="275"/>
        <v>0</v>
      </c>
      <c r="O1127" s="402">
        <f t="shared" si="276"/>
        <v>0</v>
      </c>
      <c r="P1127" s="403"/>
      <c r="Q1127" s="464"/>
      <c r="R1127" s="464"/>
      <c r="S1127" s="402">
        <f t="shared" si="278"/>
        <v>0</v>
      </c>
      <c r="T1127" s="404">
        <f t="shared" si="279"/>
        <v>0</v>
      </c>
      <c r="U1127" s="403"/>
      <c r="V1127" s="160" t="str">
        <f>IF(T1124&gt;0,"xx",IF(O1124&gt;0,"xy",""))</f>
        <v/>
      </c>
      <c r="W1127" s="43" t="str">
        <f t="shared" si="273"/>
        <v/>
      </c>
      <c r="X1127" s="43" t="str">
        <f t="shared" si="306"/>
        <v/>
      </c>
      <c r="Y1127" s="43" t="str">
        <f t="shared" si="265"/>
        <v/>
      </c>
    </row>
    <row r="1128" spans="1:25" hidden="1">
      <c r="A1128" s="155">
        <v>621100</v>
      </c>
      <c r="B1128" s="156" t="s">
        <v>242</v>
      </c>
      <c r="C1128" s="411" t="s">
        <v>480</v>
      </c>
      <c r="D1128" s="351"/>
      <c r="E1128" s="405"/>
      <c r="F1128" s="406"/>
      <c r="G1128" s="158">
        <f>SUM(G1129:G1131)</f>
        <v>490.87750499999999</v>
      </c>
      <c r="H1128" s="465">
        <v>3046.9300000000003</v>
      </c>
      <c r="I1128" s="465">
        <f>IF(ISBLANK(H1128),"",SUM(G1128:H1128))*0.9</f>
        <v>3184.0267545000002</v>
      </c>
      <c r="J1128" s="407">
        <f t="shared" si="274"/>
        <v>4037.35</v>
      </c>
      <c r="K1128" s="408" t="s">
        <v>23</v>
      </c>
      <c r="L1128" s="152">
        <v>0</v>
      </c>
      <c r="M1128" s="152"/>
      <c r="N1128" s="402">
        <f t="shared" si="275"/>
        <v>0</v>
      </c>
      <c r="O1128" s="402">
        <f t="shared" si="276"/>
        <v>0</v>
      </c>
      <c r="P1128" s="403"/>
      <c r="Q1128" s="152">
        <f t="shared" si="277"/>
        <v>0</v>
      </c>
      <c r="R1128" s="152">
        <f t="shared" si="277"/>
        <v>0</v>
      </c>
      <c r="S1128" s="402">
        <f t="shared" si="278"/>
        <v>0</v>
      </c>
      <c r="T1128" s="404">
        <f t="shared" si="279"/>
        <v>0</v>
      </c>
      <c r="U1128" s="403"/>
      <c r="W1128" s="43" t="str">
        <f t="shared" si="273"/>
        <v/>
      </c>
      <c r="X1128" s="43" t="str">
        <f t="shared" si="306"/>
        <v/>
      </c>
      <c r="Y1128" s="43" t="str">
        <f t="shared" si="265"/>
        <v/>
      </c>
    </row>
    <row r="1129" spans="1:25" hidden="1">
      <c r="A1129" s="155" t="s">
        <v>183</v>
      </c>
      <c r="B1129" s="156"/>
      <c r="C1129" s="411" t="s">
        <v>251</v>
      </c>
      <c r="D1129" s="351"/>
      <c r="E1129" s="405">
        <v>500</v>
      </c>
      <c r="F1129" s="406">
        <v>0.81569999999999998</v>
      </c>
      <c r="G1129" s="158">
        <f>IF(E1129&lt;=30,(0.42*E1129+3.55)*F1129,((0.42*30+3.55)+0.35*(E1129-30))*F1129)</f>
        <v>147.35620499999999</v>
      </c>
      <c r="H1129" s="465">
        <v>0</v>
      </c>
      <c r="I1129" s="465"/>
      <c r="J1129" s="407">
        <f t="shared" si="274"/>
        <v>0</v>
      </c>
      <c r="K1129" s="408"/>
      <c r="L1129" s="152">
        <v>0</v>
      </c>
      <c r="M1129" s="213"/>
      <c r="N1129" s="402">
        <f t="shared" si="275"/>
        <v>0</v>
      </c>
      <c r="O1129" s="402">
        <f t="shared" si="276"/>
        <v>0</v>
      </c>
      <c r="P1129" s="403"/>
      <c r="Q1129" s="464"/>
      <c r="R1129" s="464"/>
      <c r="S1129" s="402">
        <f t="shared" si="278"/>
        <v>0</v>
      </c>
      <c r="T1129" s="404">
        <f t="shared" si="279"/>
        <v>0</v>
      </c>
      <c r="U1129" s="403"/>
      <c r="V1129" s="160" t="str">
        <f>IF(T1128&gt;0,"xx",IF(O1128&gt;0,"xy",""))</f>
        <v/>
      </c>
      <c r="W1129" s="43" t="str">
        <f t="shared" si="273"/>
        <v/>
      </c>
      <c r="X1129" s="43" t="str">
        <f t="shared" si="306"/>
        <v/>
      </c>
      <c r="Y1129" s="43" t="str">
        <f t="shared" si="265"/>
        <v/>
      </c>
    </row>
    <row r="1130" spans="1:25" hidden="1">
      <c r="A1130" s="155" t="s">
        <v>183</v>
      </c>
      <c r="B1130" s="156"/>
      <c r="C1130" s="411" t="s">
        <v>314</v>
      </c>
      <c r="D1130" s="351"/>
      <c r="E1130" s="405">
        <v>180</v>
      </c>
      <c r="F1130" s="406">
        <v>2.9003000000000001</v>
      </c>
      <c r="G1130" s="158">
        <f t="shared" ref="G1130:G1131" si="318">IF(E1130&lt;=30,(0.6*E1130+1.25)*F1130,((0.6*30+1.25)+0.5*(E1130-30))*F1130)</f>
        <v>273.353275</v>
      </c>
      <c r="H1130" s="465">
        <v>0</v>
      </c>
      <c r="I1130" s="465"/>
      <c r="J1130" s="407">
        <f t="shared" si="274"/>
        <v>0</v>
      </c>
      <c r="K1130" s="408"/>
      <c r="L1130" s="152">
        <v>0</v>
      </c>
      <c r="M1130" s="213"/>
      <c r="N1130" s="402">
        <f t="shared" si="275"/>
        <v>0</v>
      </c>
      <c r="O1130" s="402">
        <f t="shared" si="276"/>
        <v>0</v>
      </c>
      <c r="P1130" s="403"/>
      <c r="Q1130" s="464"/>
      <c r="R1130" s="464"/>
      <c r="S1130" s="402">
        <f t="shared" si="278"/>
        <v>0</v>
      </c>
      <c r="T1130" s="404">
        <f t="shared" si="279"/>
        <v>0</v>
      </c>
      <c r="U1130" s="403"/>
      <c r="V1130" s="160" t="str">
        <f>IF(T1128&gt;0,"xx",IF(O1128&gt;0,"xy",""))</f>
        <v/>
      </c>
      <c r="W1130" s="43" t="str">
        <f t="shared" si="273"/>
        <v/>
      </c>
      <c r="X1130" s="43" t="str">
        <f t="shared" si="306"/>
        <v/>
      </c>
      <c r="Y1130" s="43" t="str">
        <f t="shared" si="265"/>
        <v/>
      </c>
    </row>
    <row r="1131" spans="1:25" hidden="1">
      <c r="A1131" s="155" t="s">
        <v>183</v>
      </c>
      <c r="B1131" s="156"/>
      <c r="C1131" s="411" t="s">
        <v>323</v>
      </c>
      <c r="D1131" s="351"/>
      <c r="E1131" s="405">
        <v>20</v>
      </c>
      <c r="F1131" s="406">
        <v>5.2957000000000001</v>
      </c>
      <c r="G1131" s="158">
        <f t="shared" si="318"/>
        <v>70.168025</v>
      </c>
      <c r="H1131" s="465">
        <v>0</v>
      </c>
      <c r="I1131" s="465"/>
      <c r="J1131" s="407">
        <f t="shared" si="274"/>
        <v>0</v>
      </c>
      <c r="K1131" s="408"/>
      <c r="L1131" s="152">
        <v>0</v>
      </c>
      <c r="M1131" s="213"/>
      <c r="N1131" s="402">
        <f t="shared" si="275"/>
        <v>0</v>
      </c>
      <c r="O1131" s="402">
        <f t="shared" si="276"/>
        <v>0</v>
      </c>
      <c r="P1131" s="403"/>
      <c r="Q1131" s="464"/>
      <c r="R1131" s="464"/>
      <c r="S1131" s="402">
        <f t="shared" si="278"/>
        <v>0</v>
      </c>
      <c r="T1131" s="404">
        <f t="shared" si="279"/>
        <v>0</v>
      </c>
      <c r="U1131" s="403"/>
      <c r="V1131" s="160" t="str">
        <f>IF(T1128&gt;0,"xx",IF(O1128&gt;0,"xy",""))</f>
        <v/>
      </c>
      <c r="W1131" s="43" t="str">
        <f t="shared" si="273"/>
        <v/>
      </c>
      <c r="X1131" s="43" t="str">
        <f t="shared" si="306"/>
        <v/>
      </c>
      <c r="Y1131" s="43" t="str">
        <f t="shared" si="265"/>
        <v/>
      </c>
    </row>
    <row r="1132" spans="1:25" hidden="1">
      <c r="A1132" s="155">
        <v>621200</v>
      </c>
      <c r="B1132" s="156" t="s">
        <v>242</v>
      </c>
      <c r="C1132" s="411" t="s">
        <v>481</v>
      </c>
      <c r="D1132" s="351"/>
      <c r="E1132" s="405"/>
      <c r="F1132" s="406"/>
      <c r="G1132" s="158">
        <f>SUM(G1133:G1135)</f>
        <v>636.34170999999992</v>
      </c>
      <c r="H1132" s="465">
        <v>3862.62</v>
      </c>
      <c r="I1132" s="465">
        <f>IF(ISBLANK(H1132),"",SUM(G1132:H1132))*0.9</f>
        <v>4049.0655389999997</v>
      </c>
      <c r="J1132" s="407">
        <f t="shared" si="274"/>
        <v>5134.22</v>
      </c>
      <c r="K1132" s="408" t="s">
        <v>23</v>
      </c>
      <c r="L1132" s="152">
        <v>0</v>
      </c>
      <c r="M1132" s="152"/>
      <c r="N1132" s="402">
        <f t="shared" si="275"/>
        <v>0</v>
      </c>
      <c r="O1132" s="402">
        <f t="shared" si="276"/>
        <v>0</v>
      </c>
      <c r="P1132" s="403"/>
      <c r="Q1132" s="152">
        <f t="shared" si="277"/>
        <v>0</v>
      </c>
      <c r="R1132" s="152">
        <f t="shared" si="277"/>
        <v>0</v>
      </c>
      <c r="S1132" s="402">
        <f t="shared" si="278"/>
        <v>0</v>
      </c>
      <c r="T1132" s="404">
        <f t="shared" si="279"/>
        <v>0</v>
      </c>
      <c r="U1132" s="403"/>
      <c r="W1132" s="43" t="str">
        <f t="shared" si="273"/>
        <v/>
      </c>
      <c r="X1132" s="43" t="str">
        <f t="shared" si="306"/>
        <v/>
      </c>
      <c r="Y1132" s="43" t="str">
        <f t="shared" si="265"/>
        <v/>
      </c>
    </row>
    <row r="1133" spans="1:25" hidden="1">
      <c r="A1133" s="155" t="s">
        <v>183</v>
      </c>
      <c r="B1133" s="156"/>
      <c r="C1133" s="411" t="s">
        <v>251</v>
      </c>
      <c r="D1133" s="351"/>
      <c r="E1133" s="405">
        <v>500</v>
      </c>
      <c r="F1133" s="406">
        <v>1.0573999999999999</v>
      </c>
      <c r="G1133" s="158">
        <f>IF(E1133&lt;=30,(0.42*E1133+3.55)*F1133,((0.42*30+3.55)+0.35*(E1133-30))*F1133)</f>
        <v>191.01930999999999</v>
      </c>
      <c r="H1133" s="465">
        <v>0</v>
      </c>
      <c r="I1133" s="465"/>
      <c r="J1133" s="407">
        <f t="shared" si="274"/>
        <v>0</v>
      </c>
      <c r="K1133" s="408"/>
      <c r="L1133" s="152">
        <v>0</v>
      </c>
      <c r="M1133" s="213"/>
      <c r="N1133" s="402">
        <f t="shared" si="275"/>
        <v>0</v>
      </c>
      <c r="O1133" s="402">
        <f t="shared" si="276"/>
        <v>0</v>
      </c>
      <c r="P1133" s="403"/>
      <c r="Q1133" s="464"/>
      <c r="R1133" s="464"/>
      <c r="S1133" s="402">
        <f t="shared" si="278"/>
        <v>0</v>
      </c>
      <c r="T1133" s="404">
        <f t="shared" si="279"/>
        <v>0</v>
      </c>
      <c r="U1133" s="403"/>
      <c r="V1133" s="160" t="str">
        <f>IF(T1132&gt;0,"xx",IF(O1132&gt;0,"xy",""))</f>
        <v/>
      </c>
      <c r="W1133" s="43" t="str">
        <f t="shared" si="273"/>
        <v/>
      </c>
      <c r="X1133" s="43" t="str">
        <f t="shared" si="306"/>
        <v/>
      </c>
      <c r="Y1133" s="43" t="str">
        <f t="shared" si="265"/>
        <v/>
      </c>
    </row>
    <row r="1134" spans="1:25" hidden="1">
      <c r="A1134" s="155" t="s">
        <v>183</v>
      </c>
      <c r="B1134" s="156"/>
      <c r="C1134" s="411" t="s">
        <v>314</v>
      </c>
      <c r="D1134" s="351"/>
      <c r="E1134" s="405">
        <v>180</v>
      </c>
      <c r="F1134" s="406">
        <v>3.7597999999999998</v>
      </c>
      <c r="G1134" s="158">
        <f t="shared" ref="G1134:G1135" si="319">IF(E1134&lt;=30,(0.6*E1134+1.25)*F1134,((0.6*30+1.25)+0.5*(E1134-30))*F1134)</f>
        <v>354.36115000000001</v>
      </c>
      <c r="H1134" s="465">
        <v>0</v>
      </c>
      <c r="I1134" s="465"/>
      <c r="J1134" s="407">
        <f t="shared" si="274"/>
        <v>0</v>
      </c>
      <c r="K1134" s="408"/>
      <c r="L1134" s="152">
        <v>0</v>
      </c>
      <c r="M1134" s="213"/>
      <c r="N1134" s="402">
        <f t="shared" si="275"/>
        <v>0</v>
      </c>
      <c r="O1134" s="402">
        <f t="shared" si="276"/>
        <v>0</v>
      </c>
      <c r="P1134" s="403"/>
      <c r="Q1134" s="464"/>
      <c r="R1134" s="464"/>
      <c r="S1134" s="402">
        <f t="shared" si="278"/>
        <v>0</v>
      </c>
      <c r="T1134" s="404">
        <f t="shared" si="279"/>
        <v>0</v>
      </c>
      <c r="U1134" s="403"/>
      <c r="V1134" s="160" t="str">
        <f>IF(T1132&gt;0,"xx",IF(O1132&gt;0,"xy",""))</f>
        <v/>
      </c>
      <c r="W1134" s="43" t="str">
        <f t="shared" si="273"/>
        <v/>
      </c>
      <c r="X1134" s="43" t="str">
        <f t="shared" si="306"/>
        <v/>
      </c>
      <c r="Y1134" s="43" t="str">
        <f t="shared" si="265"/>
        <v/>
      </c>
    </row>
    <row r="1135" spans="1:25" hidden="1">
      <c r="A1135" s="155" t="s">
        <v>183</v>
      </c>
      <c r="B1135" s="156"/>
      <c r="C1135" s="411" t="s">
        <v>323</v>
      </c>
      <c r="D1135" s="351"/>
      <c r="E1135" s="405">
        <v>20</v>
      </c>
      <c r="F1135" s="406">
        <v>6.8650000000000002</v>
      </c>
      <c r="G1135" s="158">
        <f t="shared" si="319"/>
        <v>90.961250000000007</v>
      </c>
      <c r="H1135" s="465">
        <v>0</v>
      </c>
      <c r="I1135" s="465"/>
      <c r="J1135" s="407">
        <f t="shared" si="274"/>
        <v>0</v>
      </c>
      <c r="K1135" s="408"/>
      <c r="L1135" s="152">
        <v>0</v>
      </c>
      <c r="M1135" s="213"/>
      <c r="N1135" s="402">
        <f t="shared" si="275"/>
        <v>0</v>
      </c>
      <c r="O1135" s="402">
        <f t="shared" si="276"/>
        <v>0</v>
      </c>
      <c r="P1135" s="403"/>
      <c r="Q1135" s="464"/>
      <c r="R1135" s="464"/>
      <c r="S1135" s="402">
        <f t="shared" si="278"/>
        <v>0</v>
      </c>
      <c r="T1135" s="404">
        <f t="shared" si="279"/>
        <v>0</v>
      </c>
      <c r="U1135" s="403"/>
      <c r="V1135" s="160" t="str">
        <f>IF(T1132&gt;0,"xx",IF(O1132&gt;0,"xy",""))</f>
        <v/>
      </c>
      <c r="W1135" s="43" t="str">
        <f t="shared" si="273"/>
        <v/>
      </c>
      <c r="X1135" s="43" t="str">
        <f t="shared" si="306"/>
        <v/>
      </c>
      <c r="Y1135" s="43" t="str">
        <f t="shared" si="265"/>
        <v/>
      </c>
    </row>
    <row r="1136" spans="1:25" hidden="1">
      <c r="A1136" s="155">
        <v>621300</v>
      </c>
      <c r="B1136" s="156" t="s">
        <v>242</v>
      </c>
      <c r="C1136" s="411" t="s">
        <v>482</v>
      </c>
      <c r="D1136" s="351"/>
      <c r="E1136" s="405"/>
      <c r="F1136" s="406"/>
      <c r="G1136" s="158">
        <f>SUM(G1137:G1139)</f>
        <v>1236.4244650000001</v>
      </c>
      <c r="H1136" s="465">
        <v>6518.32</v>
      </c>
      <c r="I1136" s="465">
        <f>IF(ISBLANK(H1136),"",SUM(G1136:H1136))*0.9</f>
        <v>6979.2700185000003</v>
      </c>
      <c r="J1136" s="407">
        <f t="shared" si="274"/>
        <v>8849.7099999999991</v>
      </c>
      <c r="K1136" s="408" t="s">
        <v>23</v>
      </c>
      <c r="L1136" s="152">
        <v>0</v>
      </c>
      <c r="M1136" s="152"/>
      <c r="N1136" s="402">
        <f t="shared" si="275"/>
        <v>0</v>
      </c>
      <c r="O1136" s="402">
        <f t="shared" si="276"/>
        <v>0</v>
      </c>
      <c r="P1136" s="403"/>
      <c r="Q1136" s="152">
        <f t="shared" si="277"/>
        <v>0</v>
      </c>
      <c r="R1136" s="152">
        <f t="shared" si="277"/>
        <v>0</v>
      </c>
      <c r="S1136" s="402">
        <f t="shared" si="278"/>
        <v>0</v>
      </c>
      <c r="T1136" s="404">
        <f t="shared" si="279"/>
        <v>0</v>
      </c>
      <c r="U1136" s="403"/>
      <c r="W1136" s="43" t="str">
        <f t="shared" si="273"/>
        <v/>
      </c>
      <c r="X1136" s="43" t="str">
        <f t="shared" si="306"/>
        <v/>
      </c>
      <c r="Y1136" s="43" t="str">
        <f t="shared" si="265"/>
        <v/>
      </c>
    </row>
    <row r="1137" spans="1:25" hidden="1">
      <c r="A1137" s="155" t="s">
        <v>183</v>
      </c>
      <c r="B1137" s="156"/>
      <c r="C1137" s="411" t="s">
        <v>251</v>
      </c>
      <c r="D1137" s="351"/>
      <c r="E1137" s="405">
        <v>500</v>
      </c>
      <c r="F1137" s="406">
        <v>2.0546000000000002</v>
      </c>
      <c r="G1137" s="158">
        <f>IF(E1137&lt;=30,(0.42*E1137+3.55)*F1137,((0.42*30+3.55)+0.35*(E1137-30))*F1137)</f>
        <v>371.16349000000002</v>
      </c>
      <c r="H1137" s="465">
        <v>0</v>
      </c>
      <c r="I1137" s="465"/>
      <c r="J1137" s="407">
        <f t="shared" si="274"/>
        <v>0</v>
      </c>
      <c r="K1137" s="408"/>
      <c r="L1137" s="152">
        <v>0</v>
      </c>
      <c r="M1137" s="213"/>
      <c r="N1137" s="402">
        <f t="shared" si="275"/>
        <v>0</v>
      </c>
      <c r="O1137" s="402">
        <f t="shared" si="276"/>
        <v>0</v>
      </c>
      <c r="P1137" s="403"/>
      <c r="Q1137" s="464"/>
      <c r="R1137" s="464"/>
      <c r="S1137" s="402">
        <f t="shared" si="278"/>
        <v>0</v>
      </c>
      <c r="T1137" s="404">
        <f t="shared" si="279"/>
        <v>0</v>
      </c>
      <c r="U1137" s="403"/>
      <c r="V1137" s="160" t="str">
        <f>IF(T1136&gt;0,"xx",IF(O1136&gt;0,"xy",""))</f>
        <v/>
      </c>
      <c r="W1137" s="43" t="str">
        <f t="shared" si="273"/>
        <v/>
      </c>
      <c r="X1137" s="43" t="str">
        <f t="shared" si="306"/>
        <v/>
      </c>
      <c r="Y1137" s="43" t="str">
        <f t="shared" si="265"/>
        <v/>
      </c>
    </row>
    <row r="1138" spans="1:25" hidden="1">
      <c r="A1138" s="155" t="s">
        <v>183</v>
      </c>
      <c r="B1138" s="156"/>
      <c r="C1138" s="411" t="s">
        <v>314</v>
      </c>
      <c r="D1138" s="351"/>
      <c r="E1138" s="405">
        <v>180</v>
      </c>
      <c r="F1138" s="406">
        <v>7.3052999999999999</v>
      </c>
      <c r="G1138" s="158">
        <f t="shared" ref="G1138:G1139" si="320">IF(E1138&lt;=30,(0.6*E1138+1.25)*F1138,((0.6*30+1.25)+0.5*(E1138-30))*F1138)</f>
        <v>688.52452500000004</v>
      </c>
      <c r="H1138" s="465">
        <v>0</v>
      </c>
      <c r="I1138" s="465"/>
      <c r="J1138" s="407">
        <f t="shared" si="274"/>
        <v>0</v>
      </c>
      <c r="K1138" s="408"/>
      <c r="L1138" s="152">
        <v>0</v>
      </c>
      <c r="M1138" s="213"/>
      <c r="N1138" s="402">
        <f t="shared" si="275"/>
        <v>0</v>
      </c>
      <c r="O1138" s="402">
        <f t="shared" si="276"/>
        <v>0</v>
      </c>
      <c r="P1138" s="403"/>
      <c r="Q1138" s="464"/>
      <c r="R1138" s="464"/>
      <c r="S1138" s="402">
        <f t="shared" si="278"/>
        <v>0</v>
      </c>
      <c r="T1138" s="404">
        <f t="shared" si="279"/>
        <v>0</v>
      </c>
      <c r="U1138" s="403"/>
      <c r="V1138" s="160" t="str">
        <f>IF(T1136&gt;0,"xx",IF(O1136&gt;0,"xy",""))</f>
        <v/>
      </c>
      <c r="W1138" s="43" t="str">
        <f t="shared" si="273"/>
        <v/>
      </c>
      <c r="X1138" s="43" t="str">
        <f t="shared" si="306"/>
        <v/>
      </c>
      <c r="Y1138" s="43" t="str">
        <f t="shared" si="265"/>
        <v/>
      </c>
    </row>
    <row r="1139" spans="1:25" hidden="1">
      <c r="A1139" s="155" t="s">
        <v>183</v>
      </c>
      <c r="B1139" s="156"/>
      <c r="C1139" s="411" t="s">
        <v>323</v>
      </c>
      <c r="D1139" s="351"/>
      <c r="E1139" s="405">
        <v>20</v>
      </c>
      <c r="F1139" s="406">
        <v>13.3386</v>
      </c>
      <c r="G1139" s="158">
        <f t="shared" si="320"/>
        <v>176.73644999999999</v>
      </c>
      <c r="H1139" s="465">
        <v>0</v>
      </c>
      <c r="I1139" s="465"/>
      <c r="J1139" s="407">
        <f t="shared" si="274"/>
        <v>0</v>
      </c>
      <c r="K1139" s="408"/>
      <c r="L1139" s="152">
        <v>0</v>
      </c>
      <c r="M1139" s="213"/>
      <c r="N1139" s="402">
        <f t="shared" si="275"/>
        <v>0</v>
      </c>
      <c r="O1139" s="402">
        <f t="shared" si="276"/>
        <v>0</v>
      </c>
      <c r="P1139" s="403"/>
      <c r="Q1139" s="464"/>
      <c r="R1139" s="464"/>
      <c r="S1139" s="402">
        <f t="shared" si="278"/>
        <v>0</v>
      </c>
      <c r="T1139" s="404">
        <f t="shared" si="279"/>
        <v>0</v>
      </c>
      <c r="U1139" s="403"/>
      <c r="V1139" s="160" t="str">
        <f>IF(T1136&gt;0,"xx",IF(O1136&gt;0,"xy",""))</f>
        <v/>
      </c>
      <c r="W1139" s="43" t="str">
        <f t="shared" si="273"/>
        <v/>
      </c>
      <c r="X1139" s="43" t="str">
        <f t="shared" si="306"/>
        <v/>
      </c>
      <c r="Y1139" s="43" t="str">
        <f t="shared" si="265"/>
        <v/>
      </c>
    </row>
    <row r="1140" spans="1:25" hidden="1">
      <c r="A1140" s="155">
        <v>621400</v>
      </c>
      <c r="B1140" s="156" t="s">
        <v>242</v>
      </c>
      <c r="C1140" s="411" t="s">
        <v>483</v>
      </c>
      <c r="D1140" s="351"/>
      <c r="E1140" s="405"/>
      <c r="F1140" s="406"/>
      <c r="G1140" s="158">
        <f>SUM(G1141:G1143)</f>
        <v>2357.7412850000001</v>
      </c>
      <c r="H1140" s="465">
        <v>11276.400000000001</v>
      </c>
      <c r="I1140" s="465">
        <f>IF(ISBLANK(H1140),"",SUM(G1140:H1140))*0.9</f>
        <v>12270.727156500001</v>
      </c>
      <c r="J1140" s="407">
        <f t="shared" si="274"/>
        <v>15559.28</v>
      </c>
      <c r="K1140" s="408" t="s">
        <v>23</v>
      </c>
      <c r="L1140" s="152">
        <v>0</v>
      </c>
      <c r="M1140" s="152"/>
      <c r="N1140" s="402">
        <f t="shared" si="275"/>
        <v>0</v>
      </c>
      <c r="O1140" s="402">
        <f t="shared" si="276"/>
        <v>0</v>
      </c>
      <c r="P1140" s="403"/>
      <c r="Q1140" s="152">
        <f t="shared" si="277"/>
        <v>0</v>
      </c>
      <c r="R1140" s="152">
        <f t="shared" si="277"/>
        <v>0</v>
      </c>
      <c r="S1140" s="402">
        <f t="shared" si="278"/>
        <v>0</v>
      </c>
      <c r="T1140" s="404">
        <f t="shared" si="279"/>
        <v>0</v>
      </c>
      <c r="U1140" s="403"/>
      <c r="W1140" s="43" t="str">
        <f t="shared" si="273"/>
        <v/>
      </c>
      <c r="X1140" s="43" t="str">
        <f t="shared" si="306"/>
        <v/>
      </c>
      <c r="Y1140" s="43" t="str">
        <f t="shared" si="265"/>
        <v/>
      </c>
    </row>
    <row r="1141" spans="1:25" hidden="1">
      <c r="A1141" s="155" t="s">
        <v>183</v>
      </c>
      <c r="B1141" s="156"/>
      <c r="C1141" s="411" t="s">
        <v>251</v>
      </c>
      <c r="D1141" s="351"/>
      <c r="E1141" s="405">
        <v>500</v>
      </c>
      <c r="F1141" s="406">
        <v>3.9178999999999999</v>
      </c>
      <c r="G1141" s="158">
        <f>IF(E1141&lt;=30,(0.42*E1141+3.55)*F1141,((0.42*30+3.55)+0.35*(E1141-30))*F1141)</f>
        <v>707.76863500000002</v>
      </c>
      <c r="H1141" s="465"/>
      <c r="I1141" s="465"/>
      <c r="J1141" s="407">
        <f t="shared" si="274"/>
        <v>0</v>
      </c>
      <c r="K1141" s="408"/>
      <c r="L1141" s="152">
        <v>0</v>
      </c>
      <c r="M1141" s="213"/>
      <c r="N1141" s="402">
        <f t="shared" si="275"/>
        <v>0</v>
      </c>
      <c r="O1141" s="402">
        <f t="shared" si="276"/>
        <v>0</v>
      </c>
      <c r="P1141" s="403"/>
      <c r="Q1141" s="464"/>
      <c r="R1141" s="464"/>
      <c r="S1141" s="402">
        <f t="shared" si="278"/>
        <v>0</v>
      </c>
      <c r="T1141" s="404">
        <f t="shared" si="279"/>
        <v>0</v>
      </c>
      <c r="U1141" s="403"/>
      <c r="V1141" s="160" t="str">
        <f>IF(T1140&gt;0,"xx",IF(O1140&gt;0,"xy",""))</f>
        <v/>
      </c>
      <c r="W1141" s="43" t="str">
        <f t="shared" si="273"/>
        <v/>
      </c>
      <c r="X1141" s="43" t="str">
        <f t="shared" si="306"/>
        <v/>
      </c>
      <c r="Y1141" s="43" t="str">
        <f t="shared" si="265"/>
        <v/>
      </c>
    </row>
    <row r="1142" spans="1:25" hidden="1">
      <c r="A1142" s="155" t="s">
        <v>183</v>
      </c>
      <c r="B1142" s="156"/>
      <c r="C1142" s="411" t="s">
        <v>314</v>
      </c>
      <c r="D1142" s="351"/>
      <c r="E1142" s="405">
        <v>180</v>
      </c>
      <c r="F1142" s="406">
        <v>13.9305</v>
      </c>
      <c r="G1142" s="158">
        <f t="shared" ref="G1142:G1143" si="321">IF(E1142&lt;=30,(0.6*E1142+1.25)*F1142,((0.6*30+1.25)+0.5*(E1142-30))*F1142)</f>
        <v>1312.949625</v>
      </c>
      <c r="H1142" s="465"/>
      <c r="I1142" s="465"/>
      <c r="J1142" s="407">
        <f t="shared" si="274"/>
        <v>0</v>
      </c>
      <c r="K1142" s="408"/>
      <c r="L1142" s="152">
        <v>0</v>
      </c>
      <c r="M1142" s="213"/>
      <c r="N1142" s="402">
        <f t="shared" si="275"/>
        <v>0</v>
      </c>
      <c r="O1142" s="402">
        <f t="shared" si="276"/>
        <v>0</v>
      </c>
      <c r="P1142" s="403"/>
      <c r="Q1142" s="464"/>
      <c r="R1142" s="464"/>
      <c r="S1142" s="402">
        <f t="shared" si="278"/>
        <v>0</v>
      </c>
      <c r="T1142" s="404">
        <f t="shared" si="279"/>
        <v>0</v>
      </c>
      <c r="U1142" s="403"/>
      <c r="V1142" s="160" t="str">
        <f>IF(T1140&gt;0,"xx",IF(O1140&gt;0,"xy",""))</f>
        <v/>
      </c>
      <c r="W1142" s="43" t="str">
        <f t="shared" si="273"/>
        <v/>
      </c>
      <c r="X1142" s="43" t="str">
        <f t="shared" si="306"/>
        <v/>
      </c>
      <c r="Y1142" s="43" t="str">
        <f t="shared" si="265"/>
        <v/>
      </c>
    </row>
    <row r="1143" spans="1:25" hidden="1">
      <c r="A1143" s="155" t="s">
        <v>183</v>
      </c>
      <c r="B1143" s="156"/>
      <c r="C1143" s="411" t="s">
        <v>323</v>
      </c>
      <c r="D1143" s="351"/>
      <c r="E1143" s="405">
        <v>20</v>
      </c>
      <c r="F1143" s="406">
        <v>25.435699999999997</v>
      </c>
      <c r="G1143" s="158">
        <f t="shared" si="321"/>
        <v>337.02302499999996</v>
      </c>
      <c r="H1143" s="465"/>
      <c r="I1143" s="465"/>
      <c r="J1143" s="407">
        <f t="shared" si="274"/>
        <v>0</v>
      </c>
      <c r="K1143" s="408"/>
      <c r="L1143" s="152">
        <v>0</v>
      </c>
      <c r="M1143" s="213"/>
      <c r="N1143" s="402">
        <f t="shared" si="275"/>
        <v>0</v>
      </c>
      <c r="O1143" s="402">
        <f t="shared" si="276"/>
        <v>0</v>
      </c>
      <c r="P1143" s="403"/>
      <c r="Q1143" s="464"/>
      <c r="R1143" s="464"/>
      <c r="S1143" s="402">
        <f t="shared" si="278"/>
        <v>0</v>
      </c>
      <c r="T1143" s="404">
        <f t="shared" si="279"/>
        <v>0</v>
      </c>
      <c r="U1143" s="403"/>
      <c r="V1143" s="160" t="str">
        <f>IF(T1140&gt;0,"xx",IF(O1140&gt;0,"xy",""))</f>
        <v/>
      </c>
      <c r="W1143" s="43" t="str">
        <f t="shared" si="273"/>
        <v/>
      </c>
      <c r="X1143" s="43" t="str">
        <f t="shared" si="306"/>
        <v/>
      </c>
      <c r="Y1143" s="43" t="str">
        <f t="shared" si="265"/>
        <v/>
      </c>
    </row>
    <row r="1144" spans="1:25" hidden="1">
      <c r="A1144" s="155">
        <v>607500</v>
      </c>
      <c r="B1144" s="156" t="s">
        <v>242</v>
      </c>
      <c r="C1144" s="411" t="s">
        <v>666</v>
      </c>
      <c r="D1144" s="351"/>
      <c r="E1144" s="405"/>
      <c r="F1144" s="406"/>
      <c r="G1144" s="158">
        <f>SUM(G1145:G1147)</f>
        <v>0.97171999999999992</v>
      </c>
      <c r="H1144" s="465">
        <v>25.290000000000003</v>
      </c>
      <c r="I1144" s="465">
        <f>IF(ISBLANK(H1144),"",SUM(G1144:H1144))</f>
        <v>26.261720000000004</v>
      </c>
      <c r="J1144" s="407">
        <f t="shared" si="274"/>
        <v>33.299999999999997</v>
      </c>
      <c r="K1144" s="408" t="s">
        <v>20</v>
      </c>
      <c r="L1144" s="152">
        <v>0</v>
      </c>
      <c r="M1144" s="152"/>
      <c r="N1144" s="402">
        <f t="shared" si="275"/>
        <v>0</v>
      </c>
      <c r="O1144" s="402">
        <f t="shared" si="276"/>
        <v>0</v>
      </c>
      <c r="P1144" s="403"/>
      <c r="Q1144" s="152">
        <f t="shared" si="277"/>
        <v>0</v>
      </c>
      <c r="R1144" s="152">
        <f t="shared" si="277"/>
        <v>0</v>
      </c>
      <c r="S1144" s="402">
        <f t="shared" si="278"/>
        <v>0</v>
      </c>
      <c r="T1144" s="404">
        <f t="shared" si="279"/>
        <v>0</v>
      </c>
      <c r="U1144" s="403"/>
      <c r="W1144" s="43" t="str">
        <f t="shared" si="273"/>
        <v/>
      </c>
      <c r="X1144" s="43" t="str">
        <f t="shared" si="306"/>
        <v/>
      </c>
      <c r="Y1144" s="43" t="str">
        <f t="shared" si="265"/>
        <v/>
      </c>
    </row>
    <row r="1145" spans="1:25" hidden="1">
      <c r="A1145" s="155" t="s">
        <v>183</v>
      </c>
      <c r="B1145" s="156"/>
      <c r="C1145" s="411" t="s">
        <v>251</v>
      </c>
      <c r="D1145" s="351"/>
      <c r="E1145" s="405">
        <v>500</v>
      </c>
      <c r="F1145" s="406">
        <v>2.9999999999999997E-4</v>
      </c>
      <c r="G1145" s="158">
        <f>IF(E1145&lt;=30,(0.42*E1145+3.55)*F1145,((0.42*30+3.55)+0.35*(E1145-30))*F1145)</f>
        <v>5.4195E-2</v>
      </c>
      <c r="H1145" s="465"/>
      <c r="I1145" s="465"/>
      <c r="J1145" s="407">
        <f t="shared" si="274"/>
        <v>0</v>
      </c>
      <c r="K1145" s="408"/>
      <c r="L1145" s="152">
        <v>0</v>
      </c>
      <c r="M1145" s="213"/>
      <c r="N1145" s="402">
        <f t="shared" si="275"/>
        <v>0</v>
      </c>
      <c r="O1145" s="402">
        <f t="shared" si="276"/>
        <v>0</v>
      </c>
      <c r="P1145" s="403"/>
      <c r="Q1145" s="464"/>
      <c r="R1145" s="464"/>
      <c r="S1145" s="402">
        <f t="shared" si="278"/>
        <v>0</v>
      </c>
      <c r="T1145" s="404">
        <f t="shared" si="279"/>
        <v>0</v>
      </c>
      <c r="U1145" s="403"/>
      <c r="V1145" s="160" t="str">
        <f>IF(T1144&gt;0,"xx",IF(O1144&gt;0,"xy",""))</f>
        <v/>
      </c>
      <c r="W1145" s="43" t="str">
        <f t="shared" si="273"/>
        <v/>
      </c>
      <c r="X1145" s="43" t="str">
        <f t="shared" si="306"/>
        <v/>
      </c>
      <c r="Y1145" s="43" t="str">
        <f t="shared" si="265"/>
        <v/>
      </c>
    </row>
    <row r="1146" spans="1:25" hidden="1">
      <c r="A1146" s="155" t="s">
        <v>183</v>
      </c>
      <c r="B1146" s="156"/>
      <c r="C1146" s="411" t="s">
        <v>314</v>
      </c>
      <c r="D1146" s="351"/>
      <c r="E1146" s="405">
        <v>180</v>
      </c>
      <c r="F1146" s="406">
        <v>1.2999999999999999E-3</v>
      </c>
      <c r="G1146" s="158">
        <f t="shared" ref="G1146:G1147" si="322">IF(E1146&lt;=30,(0.6*E1146+1.25)*F1146,((0.6*30+1.25)+0.5*(E1146-30))*F1146)</f>
        <v>0.122525</v>
      </c>
      <c r="H1146" s="465"/>
      <c r="I1146" s="465"/>
      <c r="J1146" s="407">
        <f t="shared" si="274"/>
        <v>0</v>
      </c>
      <c r="K1146" s="408"/>
      <c r="L1146" s="152">
        <v>0</v>
      </c>
      <c r="M1146" s="213"/>
      <c r="N1146" s="402">
        <f t="shared" si="275"/>
        <v>0</v>
      </c>
      <c r="O1146" s="402">
        <f t="shared" si="276"/>
        <v>0</v>
      </c>
      <c r="P1146" s="403"/>
      <c r="Q1146" s="464"/>
      <c r="R1146" s="464"/>
      <c r="S1146" s="402">
        <f t="shared" si="278"/>
        <v>0</v>
      </c>
      <c r="T1146" s="404">
        <f t="shared" si="279"/>
        <v>0</v>
      </c>
      <c r="U1146" s="403"/>
      <c r="V1146" s="160" t="str">
        <f>IF(T1144&gt;0,"xx",IF(O1144&gt;0,"xy",""))</f>
        <v/>
      </c>
      <c r="W1146" s="43" t="str">
        <f t="shared" si="273"/>
        <v/>
      </c>
      <c r="X1146" s="43" t="str">
        <f t="shared" si="306"/>
        <v/>
      </c>
      <c r="Y1146" s="43" t="str">
        <f t="shared" si="265"/>
        <v/>
      </c>
    </row>
    <row r="1147" spans="1:25" hidden="1">
      <c r="A1147" s="155" t="s">
        <v>183</v>
      </c>
      <c r="B1147" s="156"/>
      <c r="C1147" s="411" t="s">
        <v>458</v>
      </c>
      <c r="D1147" s="351"/>
      <c r="E1147" s="405">
        <v>20</v>
      </c>
      <c r="F1147" s="406">
        <v>0.06</v>
      </c>
      <c r="G1147" s="158">
        <f t="shared" si="322"/>
        <v>0.79499999999999993</v>
      </c>
      <c r="H1147" s="465"/>
      <c r="I1147" s="465"/>
      <c r="J1147" s="407">
        <f t="shared" si="274"/>
        <v>0</v>
      </c>
      <c r="K1147" s="408"/>
      <c r="L1147" s="152">
        <v>0</v>
      </c>
      <c r="M1147" s="213"/>
      <c r="N1147" s="402">
        <f t="shared" si="275"/>
        <v>0</v>
      </c>
      <c r="O1147" s="402">
        <f t="shared" si="276"/>
        <v>0</v>
      </c>
      <c r="P1147" s="403"/>
      <c r="Q1147" s="464"/>
      <c r="R1147" s="464"/>
      <c r="S1147" s="402">
        <f t="shared" si="278"/>
        <v>0</v>
      </c>
      <c r="T1147" s="404">
        <f t="shared" si="279"/>
        <v>0</v>
      </c>
      <c r="U1147" s="403"/>
      <c r="V1147" s="160" t="str">
        <f>IF(T1144&gt;0,"xx",IF(O1144&gt;0,"xy",""))</f>
        <v/>
      </c>
      <c r="W1147" s="43" t="str">
        <f t="shared" si="273"/>
        <v/>
      </c>
      <c r="X1147" s="43" t="str">
        <f t="shared" si="306"/>
        <v/>
      </c>
      <c r="Y1147" s="43" t="str">
        <f t="shared" si="265"/>
        <v/>
      </c>
    </row>
    <row r="1148" spans="1:25" hidden="1">
      <c r="A1148" s="155">
        <v>607600</v>
      </c>
      <c r="B1148" s="156" t="s">
        <v>242</v>
      </c>
      <c r="C1148" s="411" t="s">
        <v>667</v>
      </c>
      <c r="D1148" s="351"/>
      <c r="E1148" s="405"/>
      <c r="F1148" s="406"/>
      <c r="G1148" s="158">
        <f>SUM(G1149:G1151)</f>
        <v>1.5460099999999999</v>
      </c>
      <c r="H1148" s="465">
        <v>32.389999999999993</v>
      </c>
      <c r="I1148" s="465">
        <f>IF(ISBLANK(H1148),"",SUM(G1148:H1148))</f>
        <v>33.936009999999996</v>
      </c>
      <c r="J1148" s="407">
        <f t="shared" si="274"/>
        <v>43.03</v>
      </c>
      <c r="K1148" s="408" t="s">
        <v>20</v>
      </c>
      <c r="L1148" s="152">
        <v>0</v>
      </c>
      <c r="M1148" s="152"/>
      <c r="N1148" s="402">
        <f t="shared" si="275"/>
        <v>0</v>
      </c>
      <c r="O1148" s="402">
        <f t="shared" si="276"/>
        <v>0</v>
      </c>
      <c r="P1148" s="403"/>
      <c r="Q1148" s="152">
        <f t="shared" si="277"/>
        <v>0</v>
      </c>
      <c r="R1148" s="152">
        <f t="shared" si="277"/>
        <v>0</v>
      </c>
      <c r="S1148" s="402">
        <f t="shared" si="278"/>
        <v>0</v>
      </c>
      <c r="T1148" s="404">
        <f t="shared" si="279"/>
        <v>0</v>
      </c>
      <c r="U1148" s="403"/>
      <c r="W1148" s="43" t="str">
        <f t="shared" si="273"/>
        <v/>
      </c>
      <c r="X1148" s="43" t="str">
        <f t="shared" si="306"/>
        <v/>
      </c>
      <c r="Y1148" s="43" t="str">
        <f t="shared" si="265"/>
        <v/>
      </c>
    </row>
    <row r="1149" spans="1:25" hidden="1">
      <c r="A1149" s="155" t="s">
        <v>183</v>
      </c>
      <c r="B1149" s="156"/>
      <c r="C1149" s="411" t="s">
        <v>251</v>
      </c>
      <c r="D1149" s="351"/>
      <c r="E1149" s="405">
        <v>500</v>
      </c>
      <c r="F1149" s="406">
        <v>4.0000000000000002E-4</v>
      </c>
      <c r="G1149" s="158">
        <f>IF(E1149&lt;=30,(0.42*E1149+3.55)*F1149,((0.42*30+3.55)+0.35*(E1149-30))*F1149)</f>
        <v>7.2260000000000005E-2</v>
      </c>
      <c r="H1149" s="465"/>
      <c r="I1149" s="465"/>
      <c r="J1149" s="407">
        <f t="shared" si="274"/>
        <v>0</v>
      </c>
      <c r="K1149" s="408"/>
      <c r="L1149" s="152">
        <v>0</v>
      </c>
      <c r="M1149" s="213"/>
      <c r="N1149" s="402">
        <f t="shared" si="275"/>
        <v>0</v>
      </c>
      <c r="O1149" s="402">
        <f t="shared" si="276"/>
        <v>0</v>
      </c>
      <c r="P1149" s="403"/>
      <c r="Q1149" s="464"/>
      <c r="R1149" s="464"/>
      <c r="S1149" s="402">
        <f t="shared" si="278"/>
        <v>0</v>
      </c>
      <c r="T1149" s="404">
        <f t="shared" si="279"/>
        <v>0</v>
      </c>
      <c r="U1149" s="403"/>
      <c r="V1149" s="160" t="str">
        <f>IF(T1148&gt;0,"xx",IF(O1148&gt;0,"xy",""))</f>
        <v/>
      </c>
      <c r="W1149" s="43" t="str">
        <f t="shared" si="273"/>
        <v/>
      </c>
      <c r="X1149" s="43" t="str">
        <f t="shared" si="306"/>
        <v/>
      </c>
      <c r="Y1149" s="43" t="str">
        <f t="shared" si="265"/>
        <v/>
      </c>
    </row>
    <row r="1150" spans="1:25" hidden="1">
      <c r="A1150" s="155" t="s">
        <v>183</v>
      </c>
      <c r="B1150" s="156"/>
      <c r="C1150" s="411" t="s">
        <v>314</v>
      </c>
      <c r="D1150" s="351"/>
      <c r="E1150" s="405">
        <v>180</v>
      </c>
      <c r="F1150" s="406">
        <v>2E-3</v>
      </c>
      <c r="G1150" s="158">
        <f t="shared" ref="G1150:G1151" si="323">IF(E1150&lt;=30,(0.6*E1150+1.25)*F1150,((0.6*30+1.25)+0.5*(E1150-30))*F1150)</f>
        <v>0.1885</v>
      </c>
      <c r="H1150" s="465"/>
      <c r="I1150" s="465"/>
      <c r="J1150" s="407">
        <f t="shared" si="274"/>
        <v>0</v>
      </c>
      <c r="K1150" s="408"/>
      <c r="L1150" s="152">
        <v>0</v>
      </c>
      <c r="M1150" s="213"/>
      <c r="N1150" s="402">
        <f t="shared" si="275"/>
        <v>0</v>
      </c>
      <c r="O1150" s="402">
        <f t="shared" si="276"/>
        <v>0</v>
      </c>
      <c r="P1150" s="403"/>
      <c r="Q1150" s="464"/>
      <c r="R1150" s="464"/>
      <c r="S1150" s="402">
        <f t="shared" si="278"/>
        <v>0</v>
      </c>
      <c r="T1150" s="404">
        <f t="shared" si="279"/>
        <v>0</v>
      </c>
      <c r="U1150" s="403"/>
      <c r="V1150" s="160" t="str">
        <f>IF(T1148&gt;0,"xx",IF(O1148&gt;0,"xy",""))</f>
        <v/>
      </c>
      <c r="W1150" s="43" t="str">
        <f t="shared" si="273"/>
        <v/>
      </c>
      <c r="X1150" s="43" t="str">
        <f t="shared" si="306"/>
        <v/>
      </c>
      <c r="Y1150" s="43" t="str">
        <f t="shared" si="265"/>
        <v/>
      </c>
    </row>
    <row r="1151" spans="1:25" hidden="1">
      <c r="A1151" s="155" t="s">
        <v>183</v>
      </c>
      <c r="B1151" s="156"/>
      <c r="C1151" s="411" t="s">
        <v>458</v>
      </c>
      <c r="D1151" s="351"/>
      <c r="E1151" s="405">
        <v>20</v>
      </c>
      <c r="F1151" s="406">
        <v>9.7000000000000003E-2</v>
      </c>
      <c r="G1151" s="158">
        <f t="shared" si="323"/>
        <v>1.28525</v>
      </c>
      <c r="H1151" s="465"/>
      <c r="I1151" s="465"/>
      <c r="J1151" s="407">
        <f t="shared" si="274"/>
        <v>0</v>
      </c>
      <c r="K1151" s="408"/>
      <c r="L1151" s="152">
        <v>0</v>
      </c>
      <c r="M1151" s="213"/>
      <c r="N1151" s="402">
        <f t="shared" si="275"/>
        <v>0</v>
      </c>
      <c r="O1151" s="402">
        <f t="shared" si="276"/>
        <v>0</v>
      </c>
      <c r="P1151" s="403"/>
      <c r="Q1151" s="464"/>
      <c r="R1151" s="464"/>
      <c r="S1151" s="402">
        <f t="shared" si="278"/>
        <v>0</v>
      </c>
      <c r="T1151" s="404">
        <f t="shared" si="279"/>
        <v>0</v>
      </c>
      <c r="U1151" s="403"/>
      <c r="V1151" s="160" t="str">
        <f>IF(T1148&gt;0,"xx",IF(O1148&gt;0,"xy",""))</f>
        <v/>
      </c>
      <c r="W1151" s="43" t="str">
        <f t="shared" si="273"/>
        <v/>
      </c>
      <c r="X1151" s="43" t="str">
        <f t="shared" si="306"/>
        <v/>
      </c>
      <c r="Y1151" s="43" t="str">
        <f t="shared" si="265"/>
        <v/>
      </c>
    </row>
    <row r="1152" spans="1:25">
      <c r="A1152" s="155" t="s">
        <v>1085</v>
      </c>
      <c r="B1152" s="156" t="s">
        <v>242</v>
      </c>
      <c r="C1152" s="411" t="s">
        <v>484</v>
      </c>
      <c r="D1152" s="351"/>
      <c r="E1152" s="405"/>
      <c r="F1152" s="406"/>
      <c r="G1152" s="158">
        <f>SUM(G1153:G1155)</f>
        <v>1.8931850000000001</v>
      </c>
      <c r="H1152" s="465">
        <v>60.670000000000009</v>
      </c>
      <c r="I1152" s="465">
        <f>IF(ISBLANK(H1152),"",SUM(G1152:H1152))</f>
        <v>62.563185000000011</v>
      </c>
      <c r="J1152" s="407">
        <f t="shared" si="274"/>
        <v>79.33</v>
      </c>
      <c r="K1152" s="408" t="s">
        <v>20</v>
      </c>
      <c r="L1152" s="152">
        <v>62</v>
      </c>
      <c r="M1152" s="152">
        <v>79.33</v>
      </c>
      <c r="N1152" s="402">
        <f t="shared" si="275"/>
        <v>4918.46</v>
      </c>
      <c r="O1152" s="402">
        <f t="shared" si="276"/>
        <v>4918.46</v>
      </c>
      <c r="P1152" s="403"/>
      <c r="Q1152" s="152">
        <f t="shared" si="277"/>
        <v>62</v>
      </c>
      <c r="R1152" s="152">
        <f t="shared" si="277"/>
        <v>79.33</v>
      </c>
      <c r="S1152" s="402">
        <f t="shared" si="278"/>
        <v>4918.46</v>
      </c>
      <c r="T1152" s="404">
        <f t="shared" si="279"/>
        <v>4918.46</v>
      </c>
      <c r="U1152" s="403"/>
      <c r="W1152" s="43" t="str">
        <f t="shared" si="273"/>
        <v>x</v>
      </c>
      <c r="X1152" s="43" t="str">
        <f t="shared" si="306"/>
        <v>x</v>
      </c>
      <c r="Y1152" s="43" t="str">
        <f t="shared" si="265"/>
        <v>x</v>
      </c>
    </row>
    <row r="1153" spans="1:25">
      <c r="A1153" s="155" t="s">
        <v>183</v>
      </c>
      <c r="B1153" s="156"/>
      <c r="C1153" s="411" t="s">
        <v>251</v>
      </c>
      <c r="D1153" s="351"/>
      <c r="E1153" s="405">
        <v>530</v>
      </c>
      <c r="F1153" s="406">
        <v>1.9E-3</v>
      </c>
      <c r="G1153" s="158">
        <f>IF(E1153&lt;=30,(0.42*E1153+3.55)*F1153,((0.42*30+3.55)+0.35*(E1153-30))*F1153)</f>
        <v>0.36318500000000004</v>
      </c>
      <c r="H1153" s="465"/>
      <c r="I1153" s="465"/>
      <c r="J1153" s="407">
        <f t="shared" si="274"/>
        <v>0</v>
      </c>
      <c r="K1153" s="408"/>
      <c r="L1153" s="152">
        <v>0</v>
      </c>
      <c r="M1153" s="213"/>
      <c r="N1153" s="402">
        <f t="shared" si="275"/>
        <v>0</v>
      </c>
      <c r="O1153" s="402">
        <f t="shared" si="276"/>
        <v>0</v>
      </c>
      <c r="P1153" s="403"/>
      <c r="Q1153" s="464"/>
      <c r="R1153" s="464"/>
      <c r="S1153" s="402">
        <f t="shared" si="278"/>
        <v>0</v>
      </c>
      <c r="T1153" s="404">
        <f t="shared" si="279"/>
        <v>0</v>
      </c>
      <c r="U1153" s="403"/>
      <c r="V1153" s="160" t="str">
        <f>IF(T1152&gt;0,"xx",IF(O1152&gt;0,"xy",""))</f>
        <v>xx</v>
      </c>
      <c r="W1153" s="43" t="str">
        <f t="shared" si="273"/>
        <v>x</v>
      </c>
      <c r="X1153" s="43" t="str">
        <f t="shared" si="306"/>
        <v>x</v>
      </c>
      <c r="Y1153" s="43" t="str">
        <f t="shared" si="265"/>
        <v/>
      </c>
    </row>
    <row r="1154" spans="1:25">
      <c r="A1154" s="155" t="s">
        <v>183</v>
      </c>
      <c r="B1154" s="156"/>
      <c r="C1154" s="411" t="s">
        <v>314</v>
      </c>
      <c r="D1154" s="351"/>
      <c r="E1154" s="405">
        <v>270</v>
      </c>
      <c r="F1154" s="406">
        <v>0.01</v>
      </c>
      <c r="G1154" s="158">
        <f t="shared" ref="G1154:G1155" si="324">IF(E1154&lt;=30,(0.6*E1154+1.25)*F1154,((0.6*30+1.25)+0.5*(E1154-30))*F1154)</f>
        <v>1.3925000000000001</v>
      </c>
      <c r="H1154" s="465"/>
      <c r="I1154" s="465"/>
      <c r="J1154" s="407">
        <f t="shared" si="274"/>
        <v>0</v>
      </c>
      <c r="K1154" s="408"/>
      <c r="L1154" s="152">
        <v>0</v>
      </c>
      <c r="M1154" s="213"/>
      <c r="N1154" s="402">
        <f t="shared" si="275"/>
        <v>0</v>
      </c>
      <c r="O1154" s="402">
        <f t="shared" si="276"/>
        <v>0</v>
      </c>
      <c r="P1154" s="403"/>
      <c r="Q1154" s="464"/>
      <c r="R1154" s="464"/>
      <c r="S1154" s="402">
        <f t="shared" si="278"/>
        <v>0</v>
      </c>
      <c r="T1154" s="404">
        <f t="shared" si="279"/>
        <v>0</v>
      </c>
      <c r="U1154" s="403"/>
      <c r="V1154" s="160" t="str">
        <f>IF(T1152&gt;0,"xx",IF(O1152&gt;0,"xy",""))</f>
        <v>xx</v>
      </c>
      <c r="W1154" s="43" t="str">
        <f t="shared" si="273"/>
        <v>x</v>
      </c>
      <c r="X1154" s="43" t="str">
        <f t="shared" si="306"/>
        <v>x</v>
      </c>
      <c r="Y1154" s="43" t="str">
        <f t="shared" si="265"/>
        <v/>
      </c>
    </row>
    <row r="1155" spans="1:25">
      <c r="A1155" s="155" t="s">
        <v>183</v>
      </c>
      <c r="B1155" s="156"/>
      <c r="C1155" s="411" t="s">
        <v>458</v>
      </c>
      <c r="D1155" s="351"/>
      <c r="E1155" s="405"/>
      <c r="F1155" s="406">
        <v>0.11</v>
      </c>
      <c r="G1155" s="158">
        <f t="shared" si="324"/>
        <v>0.13750000000000001</v>
      </c>
      <c r="H1155" s="465"/>
      <c r="I1155" s="465"/>
      <c r="J1155" s="407">
        <f t="shared" si="274"/>
        <v>0</v>
      </c>
      <c r="K1155" s="408"/>
      <c r="L1155" s="152">
        <v>0</v>
      </c>
      <c r="M1155" s="213"/>
      <c r="N1155" s="402">
        <f t="shared" si="275"/>
        <v>0</v>
      </c>
      <c r="O1155" s="402">
        <f t="shared" si="276"/>
        <v>0</v>
      </c>
      <c r="P1155" s="403"/>
      <c r="Q1155" s="464"/>
      <c r="R1155" s="464"/>
      <c r="S1155" s="402">
        <f t="shared" si="278"/>
        <v>0</v>
      </c>
      <c r="T1155" s="404">
        <f t="shared" si="279"/>
        <v>0</v>
      </c>
      <c r="U1155" s="403"/>
      <c r="V1155" s="160" t="str">
        <f>IF(T1152&gt;0,"xx",IF(O1152&gt;0,"xy",""))</f>
        <v>xx</v>
      </c>
      <c r="W1155" s="43" t="str">
        <f t="shared" si="273"/>
        <v>x</v>
      </c>
      <c r="X1155" s="43" t="str">
        <f t="shared" si="306"/>
        <v>x</v>
      </c>
      <c r="Y1155" s="43" t="str">
        <f t="shared" si="265"/>
        <v/>
      </c>
    </row>
    <row r="1156" spans="1:25" hidden="1">
      <c r="A1156" s="155" t="s">
        <v>1086</v>
      </c>
      <c r="B1156" s="156" t="s">
        <v>242</v>
      </c>
      <c r="C1156" s="411" t="s">
        <v>668</v>
      </c>
      <c r="D1156" s="351"/>
      <c r="E1156" s="405"/>
      <c r="F1156" s="406"/>
      <c r="G1156" s="158">
        <f>SUM(G1157:G1159)</f>
        <v>4.8307199999999995</v>
      </c>
      <c r="H1156" s="465">
        <v>81.824999999999989</v>
      </c>
      <c r="I1156" s="465">
        <f>IF(ISBLANK(H1156),"",SUM(G1156:H1156))</f>
        <v>86.655719999999988</v>
      </c>
      <c r="J1156" s="407">
        <f t="shared" si="274"/>
        <v>109.88</v>
      </c>
      <c r="K1156" s="408" t="s">
        <v>20</v>
      </c>
      <c r="L1156" s="152">
        <v>0</v>
      </c>
      <c r="M1156" s="152"/>
      <c r="N1156" s="402">
        <f t="shared" si="275"/>
        <v>0</v>
      </c>
      <c r="O1156" s="402">
        <f t="shared" si="276"/>
        <v>0</v>
      </c>
      <c r="P1156" s="403"/>
      <c r="Q1156" s="152">
        <f t="shared" si="277"/>
        <v>0</v>
      </c>
      <c r="R1156" s="152">
        <f t="shared" si="277"/>
        <v>0</v>
      </c>
      <c r="S1156" s="402">
        <f t="shared" si="278"/>
        <v>0</v>
      </c>
      <c r="T1156" s="404">
        <f t="shared" si="279"/>
        <v>0</v>
      </c>
      <c r="U1156" s="403"/>
      <c r="W1156" s="43" t="str">
        <f t="shared" si="273"/>
        <v/>
      </c>
      <c r="X1156" s="43" t="str">
        <f t="shared" si="306"/>
        <v/>
      </c>
      <c r="Y1156" s="43" t="str">
        <f t="shared" si="265"/>
        <v/>
      </c>
    </row>
    <row r="1157" spans="1:25" hidden="1">
      <c r="A1157" s="155" t="s">
        <v>183</v>
      </c>
      <c r="B1157" s="156"/>
      <c r="C1157" s="411" t="s">
        <v>251</v>
      </c>
      <c r="D1157" s="351"/>
      <c r="E1157" s="405">
        <v>500</v>
      </c>
      <c r="F1157" s="406">
        <v>2.3E-3</v>
      </c>
      <c r="G1157" s="158">
        <f>IF(E1157&lt;=30,(0.42*E1157+3.55)*F1157,((0.42*30+3.55)+0.35*(E1157-30))*F1157)</f>
        <v>0.415495</v>
      </c>
      <c r="H1157" s="465"/>
      <c r="I1157" s="465"/>
      <c r="J1157" s="407">
        <f t="shared" si="274"/>
        <v>0</v>
      </c>
      <c r="K1157" s="408"/>
      <c r="L1157" s="152">
        <v>0</v>
      </c>
      <c r="M1157" s="213"/>
      <c r="N1157" s="402">
        <f t="shared" si="275"/>
        <v>0</v>
      </c>
      <c r="O1157" s="402">
        <f t="shared" si="276"/>
        <v>0</v>
      </c>
      <c r="P1157" s="403"/>
      <c r="Q1157" s="464"/>
      <c r="R1157" s="464"/>
      <c r="S1157" s="402">
        <f t="shared" si="278"/>
        <v>0</v>
      </c>
      <c r="T1157" s="404">
        <f t="shared" si="279"/>
        <v>0</v>
      </c>
      <c r="U1157" s="403"/>
      <c r="V1157" s="160" t="str">
        <f>IF(T1156&gt;0,"xx",IF(O1156&gt;0,"xy",""))</f>
        <v/>
      </c>
      <c r="W1157" s="43" t="str">
        <f t="shared" si="273"/>
        <v/>
      </c>
      <c r="X1157" s="43" t="str">
        <f t="shared" si="306"/>
        <v/>
      </c>
      <c r="Y1157" s="43" t="str">
        <f t="shared" si="265"/>
        <v/>
      </c>
    </row>
    <row r="1158" spans="1:25" hidden="1">
      <c r="A1158" s="155" t="s">
        <v>183</v>
      </c>
      <c r="B1158" s="156"/>
      <c r="C1158" s="411" t="s">
        <v>314</v>
      </c>
      <c r="D1158" s="351"/>
      <c r="E1158" s="405">
        <v>180</v>
      </c>
      <c r="F1158" s="406">
        <v>1.17E-2</v>
      </c>
      <c r="G1158" s="158">
        <f t="shared" ref="G1158:G1159" si="325">IF(E1158&lt;=30,(0.6*E1158+1.25)*F1158,((0.6*30+1.25)+0.5*(E1158-30))*F1158)</f>
        <v>1.102725</v>
      </c>
      <c r="H1158" s="465"/>
      <c r="I1158" s="465"/>
      <c r="J1158" s="407">
        <f t="shared" si="274"/>
        <v>0</v>
      </c>
      <c r="K1158" s="408"/>
      <c r="L1158" s="152">
        <v>0</v>
      </c>
      <c r="M1158" s="213"/>
      <c r="N1158" s="402">
        <f t="shared" si="275"/>
        <v>0</v>
      </c>
      <c r="O1158" s="402">
        <f t="shared" si="276"/>
        <v>0</v>
      </c>
      <c r="P1158" s="403"/>
      <c r="Q1158" s="464"/>
      <c r="R1158" s="464"/>
      <c r="S1158" s="402">
        <f t="shared" si="278"/>
        <v>0</v>
      </c>
      <c r="T1158" s="404">
        <f t="shared" si="279"/>
        <v>0</v>
      </c>
      <c r="U1158" s="403"/>
      <c r="V1158" s="160" t="str">
        <f>IF(T1156&gt;0,"xx",IF(O1156&gt;0,"xy",""))</f>
        <v/>
      </c>
      <c r="W1158" s="43" t="str">
        <f t="shared" si="273"/>
        <v/>
      </c>
      <c r="X1158" s="43" t="str">
        <f t="shared" si="306"/>
        <v/>
      </c>
      <c r="Y1158" s="43" t="str">
        <f t="shared" si="265"/>
        <v/>
      </c>
    </row>
    <row r="1159" spans="1:25" hidden="1">
      <c r="A1159" s="155" t="s">
        <v>183</v>
      </c>
      <c r="B1159" s="156"/>
      <c r="C1159" s="411" t="s">
        <v>458</v>
      </c>
      <c r="D1159" s="351"/>
      <c r="E1159" s="405">
        <v>20</v>
      </c>
      <c r="F1159" s="406">
        <v>0.25</v>
      </c>
      <c r="G1159" s="158">
        <f t="shared" si="325"/>
        <v>3.3125</v>
      </c>
      <c r="H1159" s="465"/>
      <c r="I1159" s="465"/>
      <c r="J1159" s="407">
        <f t="shared" si="274"/>
        <v>0</v>
      </c>
      <c r="K1159" s="408"/>
      <c r="L1159" s="152">
        <v>0</v>
      </c>
      <c r="M1159" s="213"/>
      <c r="N1159" s="402">
        <f t="shared" si="275"/>
        <v>0</v>
      </c>
      <c r="O1159" s="402">
        <f t="shared" si="276"/>
        <v>0</v>
      </c>
      <c r="P1159" s="403"/>
      <c r="Q1159" s="464"/>
      <c r="R1159" s="464"/>
      <c r="S1159" s="402">
        <f t="shared" si="278"/>
        <v>0</v>
      </c>
      <c r="T1159" s="404">
        <f t="shared" si="279"/>
        <v>0</v>
      </c>
      <c r="U1159" s="403"/>
      <c r="V1159" s="160" t="str">
        <f>IF(T1156&gt;0,"xx",IF(O1156&gt;0,"xy",""))</f>
        <v/>
      </c>
      <c r="W1159" s="43" t="str">
        <f t="shared" si="273"/>
        <v/>
      </c>
      <c r="X1159" s="43" t="str">
        <f t="shared" si="306"/>
        <v/>
      </c>
      <c r="Y1159" s="43" t="str">
        <f t="shared" si="265"/>
        <v/>
      </c>
    </row>
    <row r="1160" spans="1:25">
      <c r="A1160" s="155" t="s">
        <v>1087</v>
      </c>
      <c r="B1160" s="156" t="s">
        <v>242</v>
      </c>
      <c r="C1160" s="411" t="s">
        <v>485</v>
      </c>
      <c r="D1160" s="351"/>
      <c r="E1160" s="405"/>
      <c r="F1160" s="406"/>
      <c r="G1160" s="158">
        <f>SUM(G1161:G1163)</f>
        <v>2.8504399999999999</v>
      </c>
      <c r="H1160" s="465">
        <v>102.98</v>
      </c>
      <c r="I1160" s="465">
        <f>IF(ISBLANK(H1160),"",SUM(G1160:H1160))</f>
        <v>105.83044000000001</v>
      </c>
      <c r="J1160" s="407">
        <f t="shared" si="274"/>
        <v>134.19</v>
      </c>
      <c r="K1160" s="408" t="s">
        <v>20</v>
      </c>
      <c r="L1160" s="152"/>
      <c r="M1160" s="152"/>
      <c r="N1160" s="402">
        <f t="shared" si="275"/>
        <v>0</v>
      </c>
      <c r="O1160" s="402">
        <f t="shared" si="276"/>
        <v>0</v>
      </c>
      <c r="P1160" s="403"/>
      <c r="Q1160" s="471">
        <f>L1160</f>
        <v>0</v>
      </c>
      <c r="R1160" s="152">
        <f t="shared" si="277"/>
        <v>0</v>
      </c>
      <c r="S1160" s="402">
        <f t="shared" si="278"/>
        <v>0</v>
      </c>
      <c r="T1160" s="404">
        <f t="shared" si="279"/>
        <v>0</v>
      </c>
      <c r="U1160" s="403"/>
      <c r="V1160" s="160" t="s">
        <v>1148</v>
      </c>
      <c r="W1160" s="43" t="str">
        <f t="shared" si="273"/>
        <v>x</v>
      </c>
      <c r="X1160" s="43" t="str">
        <f t="shared" si="306"/>
        <v>x</v>
      </c>
      <c r="Y1160" s="43" t="str">
        <f t="shared" si="265"/>
        <v/>
      </c>
    </row>
    <row r="1161" spans="1:25" hidden="1">
      <c r="A1161" s="155" t="s">
        <v>183</v>
      </c>
      <c r="B1161" s="156"/>
      <c r="C1161" s="411" t="s">
        <v>251</v>
      </c>
      <c r="D1161" s="351"/>
      <c r="E1161" s="473">
        <v>530</v>
      </c>
      <c r="F1161" s="406">
        <v>2.5999999999999999E-3</v>
      </c>
      <c r="G1161" s="158">
        <f>IF(E1161&lt;=30,(0.42*E1161+3.55)*F1161,((0.42*30+3.55)+0.35*(E1161-30))*F1161)</f>
        <v>0.49698999999999999</v>
      </c>
      <c r="H1161" s="465"/>
      <c r="I1161" s="465"/>
      <c r="J1161" s="407">
        <f t="shared" si="274"/>
        <v>0</v>
      </c>
      <c r="K1161" s="408"/>
      <c r="L1161" s="152">
        <v>0</v>
      </c>
      <c r="M1161" s="213"/>
      <c r="N1161" s="402">
        <f t="shared" si="275"/>
        <v>0</v>
      </c>
      <c r="O1161" s="402">
        <f t="shared" si="276"/>
        <v>0</v>
      </c>
      <c r="P1161" s="403"/>
      <c r="Q1161" s="464"/>
      <c r="R1161" s="464"/>
      <c r="S1161" s="402">
        <f t="shared" si="278"/>
        <v>0</v>
      </c>
      <c r="T1161" s="404">
        <f t="shared" si="279"/>
        <v>0</v>
      </c>
      <c r="U1161" s="403"/>
      <c r="V1161" s="160" t="str">
        <f>IF(T1160&gt;0,"xx",IF(O1160&gt;0,"xy",""))</f>
        <v/>
      </c>
      <c r="W1161" s="43" t="str">
        <f t="shared" si="273"/>
        <v/>
      </c>
      <c r="X1161" s="43" t="str">
        <f t="shared" si="306"/>
        <v/>
      </c>
      <c r="Y1161" s="43" t="str">
        <f t="shared" si="265"/>
        <v/>
      </c>
    </row>
    <row r="1162" spans="1:25" hidden="1">
      <c r="A1162" s="155" t="s">
        <v>183</v>
      </c>
      <c r="B1162" s="156"/>
      <c r="C1162" s="411" t="s">
        <v>314</v>
      </c>
      <c r="D1162" s="351"/>
      <c r="E1162" s="473">
        <v>270</v>
      </c>
      <c r="F1162" s="406">
        <v>1.34E-2</v>
      </c>
      <c r="G1162" s="158">
        <f t="shared" ref="G1162:G1163" si="326">IF(E1162&lt;=30,(0.6*E1162+1.25)*F1162,((0.6*30+1.25)+0.5*(E1162-30))*F1162)</f>
        <v>1.86595</v>
      </c>
      <c r="H1162" s="465"/>
      <c r="I1162" s="465"/>
      <c r="J1162" s="407">
        <f t="shared" si="274"/>
        <v>0</v>
      </c>
      <c r="K1162" s="408"/>
      <c r="L1162" s="152">
        <v>0</v>
      </c>
      <c r="M1162" s="213"/>
      <c r="N1162" s="402">
        <f t="shared" si="275"/>
        <v>0</v>
      </c>
      <c r="O1162" s="402">
        <f t="shared" si="276"/>
        <v>0</v>
      </c>
      <c r="P1162" s="403"/>
      <c r="Q1162" s="464"/>
      <c r="R1162" s="464"/>
      <c r="S1162" s="402">
        <f t="shared" si="278"/>
        <v>0</v>
      </c>
      <c r="T1162" s="404">
        <f t="shared" si="279"/>
        <v>0</v>
      </c>
      <c r="U1162" s="403"/>
      <c r="V1162" s="160" t="str">
        <f>IF(T1160&gt;0,"xx",IF(O1160&gt;0,"xy",""))</f>
        <v/>
      </c>
      <c r="W1162" s="43" t="str">
        <f t="shared" si="273"/>
        <v/>
      </c>
      <c r="X1162" s="43" t="str">
        <f t="shared" si="306"/>
        <v/>
      </c>
      <c r="Y1162" s="43" t="str">
        <f t="shared" si="265"/>
        <v/>
      </c>
    </row>
    <row r="1163" spans="1:25" hidden="1">
      <c r="A1163" s="155" t="s">
        <v>183</v>
      </c>
      <c r="B1163" s="156"/>
      <c r="C1163" s="411" t="s">
        <v>458</v>
      </c>
      <c r="D1163" s="351"/>
      <c r="E1163" s="473"/>
      <c r="F1163" s="406">
        <v>0.39</v>
      </c>
      <c r="G1163" s="158">
        <f t="shared" si="326"/>
        <v>0.48750000000000004</v>
      </c>
      <c r="H1163" s="465"/>
      <c r="I1163" s="465"/>
      <c r="J1163" s="407">
        <f t="shared" si="274"/>
        <v>0</v>
      </c>
      <c r="K1163" s="408"/>
      <c r="L1163" s="152">
        <v>0</v>
      </c>
      <c r="M1163" s="213"/>
      <c r="N1163" s="402">
        <f t="shared" si="275"/>
        <v>0</v>
      </c>
      <c r="O1163" s="402">
        <f t="shared" si="276"/>
        <v>0</v>
      </c>
      <c r="P1163" s="403"/>
      <c r="Q1163" s="464"/>
      <c r="R1163" s="464"/>
      <c r="S1163" s="402">
        <f t="shared" si="278"/>
        <v>0</v>
      </c>
      <c r="T1163" s="404">
        <f t="shared" si="279"/>
        <v>0</v>
      </c>
      <c r="U1163" s="403"/>
      <c r="V1163" s="160" t="str">
        <f>IF(T1160&gt;0,"xx",IF(O1160&gt;0,"xy",""))</f>
        <v/>
      </c>
      <c r="W1163" s="43" t="str">
        <f t="shared" si="273"/>
        <v/>
      </c>
      <c r="X1163" s="43" t="str">
        <f t="shared" si="306"/>
        <v/>
      </c>
      <c r="Y1163" s="43" t="str">
        <f t="shared" si="265"/>
        <v/>
      </c>
    </row>
    <row r="1164" spans="1:25" hidden="1">
      <c r="A1164" s="155" t="s">
        <v>981</v>
      </c>
      <c r="B1164" s="156" t="s">
        <v>242</v>
      </c>
      <c r="C1164" s="411" t="s">
        <v>669</v>
      </c>
      <c r="D1164" s="351"/>
      <c r="E1164" s="405"/>
      <c r="F1164" s="406"/>
      <c r="G1164" s="158">
        <f>SUM(G1165:G1167)</f>
        <v>8.9695599999999995</v>
      </c>
      <c r="H1164" s="465">
        <v>142.96499999999997</v>
      </c>
      <c r="I1164" s="465">
        <f>IF(ISBLANK(H1164),"",SUM(G1164:H1164))</f>
        <v>151.93455999999998</v>
      </c>
      <c r="J1164" s="407">
        <f t="shared" si="274"/>
        <v>192.65</v>
      </c>
      <c r="K1164" s="408" t="s">
        <v>20</v>
      </c>
      <c r="L1164" s="152">
        <v>0</v>
      </c>
      <c r="M1164" s="152"/>
      <c r="N1164" s="402">
        <f t="shared" si="275"/>
        <v>0</v>
      </c>
      <c r="O1164" s="402">
        <f t="shared" si="276"/>
        <v>0</v>
      </c>
      <c r="P1164" s="403"/>
      <c r="Q1164" s="152">
        <f t="shared" si="277"/>
        <v>0</v>
      </c>
      <c r="R1164" s="152">
        <f t="shared" si="277"/>
        <v>0</v>
      </c>
      <c r="S1164" s="402">
        <f t="shared" si="278"/>
        <v>0</v>
      </c>
      <c r="T1164" s="404">
        <f t="shared" si="279"/>
        <v>0</v>
      </c>
      <c r="U1164" s="403"/>
      <c r="W1164" s="43" t="str">
        <f t="shared" si="273"/>
        <v/>
      </c>
      <c r="X1164" s="43" t="str">
        <f t="shared" ref="X1164:X1251" si="327">IF(V1164="X","x",IF(V1164="y","x",IF(V1164="xx","x",IF(T1164&gt;0,"x",""))))</f>
        <v/>
      </c>
      <c r="Y1164" s="43" t="str">
        <f t="shared" si="265"/>
        <v/>
      </c>
    </row>
    <row r="1165" spans="1:25" hidden="1">
      <c r="A1165" s="155" t="s">
        <v>183</v>
      </c>
      <c r="B1165" s="156"/>
      <c r="C1165" s="411" t="s">
        <v>251</v>
      </c>
      <c r="D1165" s="351"/>
      <c r="E1165" s="405">
        <v>500</v>
      </c>
      <c r="F1165" s="406">
        <v>2.8999999999999998E-3</v>
      </c>
      <c r="G1165" s="158">
        <f>IF(E1165&lt;=30,(0.42*E1165+3.55)*F1165,((0.42*30+3.55)+0.35*(E1165-30))*F1165)</f>
        <v>0.52388499999999993</v>
      </c>
      <c r="H1165" s="465"/>
      <c r="I1165" s="465"/>
      <c r="J1165" s="407">
        <f t="shared" si="274"/>
        <v>0</v>
      </c>
      <c r="K1165" s="408"/>
      <c r="L1165" s="152">
        <v>0</v>
      </c>
      <c r="M1165" s="213"/>
      <c r="N1165" s="402">
        <f t="shared" si="275"/>
        <v>0</v>
      </c>
      <c r="O1165" s="402">
        <f t="shared" si="276"/>
        <v>0</v>
      </c>
      <c r="P1165" s="403"/>
      <c r="Q1165" s="464"/>
      <c r="R1165" s="464"/>
      <c r="S1165" s="402">
        <f t="shared" si="278"/>
        <v>0</v>
      </c>
      <c r="T1165" s="404">
        <f t="shared" si="279"/>
        <v>0</v>
      </c>
      <c r="U1165" s="403"/>
      <c r="V1165" s="160" t="str">
        <f>IF(T1164&gt;0,"xx",IF(O1164&gt;0,"xy",""))</f>
        <v/>
      </c>
      <c r="W1165" s="43" t="str">
        <f t="shared" si="273"/>
        <v/>
      </c>
      <c r="X1165" s="43" t="str">
        <f t="shared" si="327"/>
        <v/>
      </c>
      <c r="Y1165" s="43" t="str">
        <f t="shared" si="265"/>
        <v/>
      </c>
    </row>
    <row r="1166" spans="1:25" hidden="1">
      <c r="A1166" s="155" t="s">
        <v>183</v>
      </c>
      <c r="B1166" s="156"/>
      <c r="C1166" s="411" t="s">
        <v>314</v>
      </c>
      <c r="D1166" s="351"/>
      <c r="E1166" s="405">
        <v>180</v>
      </c>
      <c r="F1166" s="406">
        <v>1.5100000000000001E-2</v>
      </c>
      <c r="G1166" s="158">
        <f t="shared" ref="G1166:G1167" si="328">IF(E1166&lt;=30,(0.6*E1166+1.25)*F1166,((0.6*30+1.25)+0.5*(E1166-30))*F1166)</f>
        <v>1.4231750000000001</v>
      </c>
      <c r="H1166" s="465"/>
      <c r="I1166" s="465"/>
      <c r="J1166" s="407">
        <f t="shared" si="274"/>
        <v>0</v>
      </c>
      <c r="K1166" s="408"/>
      <c r="L1166" s="152">
        <v>0</v>
      </c>
      <c r="M1166" s="213"/>
      <c r="N1166" s="402">
        <f t="shared" si="275"/>
        <v>0</v>
      </c>
      <c r="O1166" s="402">
        <f t="shared" si="276"/>
        <v>0</v>
      </c>
      <c r="P1166" s="403"/>
      <c r="Q1166" s="464"/>
      <c r="R1166" s="464"/>
      <c r="S1166" s="402">
        <f t="shared" si="278"/>
        <v>0</v>
      </c>
      <c r="T1166" s="404">
        <f t="shared" si="279"/>
        <v>0</v>
      </c>
      <c r="U1166" s="403"/>
      <c r="V1166" s="160" t="str">
        <f>IF(T1164&gt;0,"xx",IF(O1164&gt;0,"xy",""))</f>
        <v/>
      </c>
      <c r="W1166" s="43" t="str">
        <f t="shared" si="273"/>
        <v/>
      </c>
      <c r="X1166" s="43" t="str">
        <f t="shared" si="327"/>
        <v/>
      </c>
      <c r="Y1166" s="43" t="str">
        <f t="shared" si="265"/>
        <v/>
      </c>
    </row>
    <row r="1167" spans="1:25" hidden="1">
      <c r="A1167" s="155" t="s">
        <v>183</v>
      </c>
      <c r="B1167" s="156"/>
      <c r="C1167" s="411" t="s">
        <v>458</v>
      </c>
      <c r="D1167" s="351"/>
      <c r="E1167" s="405">
        <v>20</v>
      </c>
      <c r="F1167" s="406">
        <v>0.53</v>
      </c>
      <c r="G1167" s="158">
        <f t="shared" si="328"/>
        <v>7.0225</v>
      </c>
      <c r="H1167" s="465"/>
      <c r="I1167" s="465"/>
      <c r="J1167" s="407">
        <f t="shared" si="274"/>
        <v>0</v>
      </c>
      <c r="K1167" s="408"/>
      <c r="L1167" s="152">
        <v>0</v>
      </c>
      <c r="M1167" s="213"/>
      <c r="N1167" s="402">
        <f t="shared" si="275"/>
        <v>0</v>
      </c>
      <c r="O1167" s="402">
        <f t="shared" si="276"/>
        <v>0</v>
      </c>
      <c r="P1167" s="403"/>
      <c r="Q1167" s="464"/>
      <c r="R1167" s="464"/>
      <c r="S1167" s="402">
        <f t="shared" si="278"/>
        <v>0</v>
      </c>
      <c r="T1167" s="404">
        <f t="shared" si="279"/>
        <v>0</v>
      </c>
      <c r="U1167" s="403"/>
      <c r="V1167" s="160" t="str">
        <f>IF(T1164&gt;0,"xx",IF(O1164&gt;0,"xy",""))</f>
        <v/>
      </c>
      <c r="W1167" s="43" t="str">
        <f t="shared" si="273"/>
        <v/>
      </c>
      <c r="X1167" s="43" t="str">
        <f t="shared" si="327"/>
        <v/>
      </c>
      <c r="Y1167" s="43" t="str">
        <f t="shared" si="265"/>
        <v/>
      </c>
    </row>
    <row r="1168" spans="1:25" hidden="1">
      <c r="A1168" s="155" t="s">
        <v>1088</v>
      </c>
      <c r="B1168" s="156" t="s">
        <v>242</v>
      </c>
      <c r="C1168" s="411" t="s">
        <v>486</v>
      </c>
      <c r="D1168" s="351"/>
      <c r="E1168" s="405"/>
      <c r="F1168" s="406"/>
      <c r="G1168" s="158">
        <f>SUM(G1169:G1171)</f>
        <v>3.7885800000000001</v>
      </c>
      <c r="H1168" s="465">
        <v>182.95</v>
      </c>
      <c r="I1168" s="465">
        <f>IF(ISBLANK(H1168),"",SUM(G1168:H1168))</f>
        <v>186.73857999999998</v>
      </c>
      <c r="J1168" s="407">
        <f t="shared" si="274"/>
        <v>236.78</v>
      </c>
      <c r="K1168" s="408" t="s">
        <v>20</v>
      </c>
      <c r="L1168" s="152"/>
      <c r="M1168" s="152"/>
      <c r="N1168" s="402">
        <f t="shared" si="275"/>
        <v>0</v>
      </c>
      <c r="O1168" s="402">
        <f t="shared" si="276"/>
        <v>0</v>
      </c>
      <c r="P1168" s="403"/>
      <c r="Q1168" s="152">
        <f t="shared" si="277"/>
        <v>0</v>
      </c>
      <c r="R1168" s="152">
        <f t="shared" si="277"/>
        <v>0</v>
      </c>
      <c r="S1168" s="402">
        <f t="shared" si="278"/>
        <v>0</v>
      </c>
      <c r="T1168" s="404">
        <f t="shared" si="279"/>
        <v>0</v>
      </c>
      <c r="U1168" s="403"/>
      <c r="W1168" s="43" t="str">
        <f t="shared" si="273"/>
        <v/>
      </c>
      <c r="X1168" s="43" t="str">
        <f t="shared" si="327"/>
        <v/>
      </c>
      <c r="Y1168" s="43" t="str">
        <f t="shared" si="265"/>
        <v/>
      </c>
    </row>
    <row r="1169" spans="1:25" hidden="1">
      <c r="A1169" s="155" t="s">
        <v>183</v>
      </c>
      <c r="B1169" s="156"/>
      <c r="C1169" s="411" t="s">
        <v>251</v>
      </c>
      <c r="D1169" s="351"/>
      <c r="E1169" s="405">
        <v>530</v>
      </c>
      <c r="F1169" s="406">
        <v>3.2000000000000002E-3</v>
      </c>
      <c r="G1169" s="158">
        <f>IF(E1169&lt;=30,(0.42*E1169+3.55)*F1169,((0.42*30+3.55)+0.35*(E1169-30))*F1169)</f>
        <v>0.61168</v>
      </c>
      <c r="H1169" s="465"/>
      <c r="I1169" s="465"/>
      <c r="J1169" s="407">
        <f t="shared" si="274"/>
        <v>0</v>
      </c>
      <c r="K1169" s="408"/>
      <c r="L1169" s="152">
        <v>0</v>
      </c>
      <c r="M1169" s="213"/>
      <c r="N1169" s="402">
        <f t="shared" si="275"/>
        <v>0</v>
      </c>
      <c r="O1169" s="402">
        <f t="shared" si="276"/>
        <v>0</v>
      </c>
      <c r="P1169" s="403"/>
      <c r="Q1169" s="464"/>
      <c r="R1169" s="464"/>
      <c r="S1169" s="402">
        <f t="shared" si="278"/>
        <v>0</v>
      </c>
      <c r="T1169" s="404">
        <f t="shared" si="279"/>
        <v>0</v>
      </c>
      <c r="U1169" s="403"/>
      <c r="V1169" s="160" t="str">
        <f>IF(T1168&gt;0,"xx",IF(O1168&gt;0,"xy",""))</f>
        <v/>
      </c>
      <c r="W1169" s="43" t="str">
        <f t="shared" si="273"/>
        <v/>
      </c>
      <c r="X1169" s="43" t="str">
        <f t="shared" si="327"/>
        <v/>
      </c>
      <c r="Y1169" s="43" t="str">
        <f t="shared" si="265"/>
        <v/>
      </c>
    </row>
    <row r="1170" spans="1:25" hidden="1">
      <c r="A1170" s="155" t="s">
        <v>183</v>
      </c>
      <c r="B1170" s="156"/>
      <c r="C1170" s="411" t="s">
        <v>314</v>
      </c>
      <c r="D1170" s="351"/>
      <c r="E1170" s="405">
        <v>270</v>
      </c>
      <c r="F1170" s="406">
        <v>1.6799999999999999E-2</v>
      </c>
      <c r="G1170" s="158">
        <f t="shared" ref="G1170:G1171" si="329">IF(E1170&lt;=30,(0.6*E1170+1.25)*F1170,((0.6*30+1.25)+0.5*(E1170-30))*F1170)</f>
        <v>2.3393999999999999</v>
      </c>
      <c r="H1170" s="465"/>
      <c r="I1170" s="465"/>
      <c r="J1170" s="407">
        <f t="shared" si="274"/>
        <v>0</v>
      </c>
      <c r="K1170" s="408"/>
      <c r="L1170" s="152">
        <v>0</v>
      </c>
      <c r="M1170" s="213"/>
      <c r="N1170" s="402">
        <f t="shared" si="275"/>
        <v>0</v>
      </c>
      <c r="O1170" s="402">
        <f t="shared" si="276"/>
        <v>0</v>
      </c>
      <c r="P1170" s="403"/>
      <c r="Q1170" s="464"/>
      <c r="R1170" s="464"/>
      <c r="S1170" s="402">
        <f t="shared" si="278"/>
        <v>0</v>
      </c>
      <c r="T1170" s="404">
        <f t="shared" si="279"/>
        <v>0</v>
      </c>
      <c r="U1170" s="403"/>
      <c r="V1170" s="160" t="str">
        <f>IF(T1168&gt;0,"xx",IF(O1168&gt;0,"xy",""))</f>
        <v/>
      </c>
      <c r="W1170" s="43" t="str">
        <f t="shared" si="273"/>
        <v/>
      </c>
      <c r="X1170" s="43" t="str">
        <f t="shared" si="327"/>
        <v/>
      </c>
      <c r="Y1170" s="43" t="str">
        <f t="shared" si="265"/>
        <v/>
      </c>
    </row>
    <row r="1171" spans="1:25" hidden="1">
      <c r="A1171" s="155" t="s">
        <v>183</v>
      </c>
      <c r="B1171" s="156"/>
      <c r="C1171" s="411" t="s">
        <v>458</v>
      </c>
      <c r="D1171" s="351"/>
      <c r="E1171" s="405"/>
      <c r="F1171" s="406">
        <v>0.67</v>
      </c>
      <c r="G1171" s="158">
        <f t="shared" si="329"/>
        <v>0.83750000000000002</v>
      </c>
      <c r="H1171" s="465"/>
      <c r="I1171" s="465"/>
      <c r="J1171" s="407">
        <f t="shared" si="274"/>
        <v>0</v>
      </c>
      <c r="K1171" s="408"/>
      <c r="L1171" s="152">
        <v>0</v>
      </c>
      <c r="M1171" s="213"/>
      <c r="N1171" s="402">
        <f t="shared" si="275"/>
        <v>0</v>
      </c>
      <c r="O1171" s="402">
        <f t="shared" si="276"/>
        <v>0</v>
      </c>
      <c r="P1171" s="403"/>
      <c r="Q1171" s="464"/>
      <c r="R1171" s="464"/>
      <c r="S1171" s="402">
        <f t="shared" si="278"/>
        <v>0</v>
      </c>
      <c r="T1171" s="404">
        <f t="shared" si="279"/>
        <v>0</v>
      </c>
      <c r="U1171" s="403"/>
      <c r="V1171" s="160" t="str">
        <f>IF(T1168&gt;0,"xx",IF(O1168&gt;0,"xy",""))</f>
        <v/>
      </c>
      <c r="W1171" s="43" t="str">
        <f t="shared" si="273"/>
        <v/>
      </c>
      <c r="X1171" s="43" t="str">
        <f t="shared" si="327"/>
        <v/>
      </c>
      <c r="Y1171" s="43" t="str">
        <f t="shared" si="265"/>
        <v/>
      </c>
    </row>
    <row r="1172" spans="1:25" hidden="1">
      <c r="A1172" s="155" t="s">
        <v>1086</v>
      </c>
      <c r="B1172" s="156" t="s">
        <v>242</v>
      </c>
      <c r="C1172" s="411" t="s">
        <v>487</v>
      </c>
      <c r="D1172" s="351"/>
      <c r="E1172" s="405"/>
      <c r="F1172" s="406"/>
      <c r="G1172" s="158">
        <f>SUM(G1173:G1175)</f>
        <v>2.763185</v>
      </c>
      <c r="H1172" s="465">
        <v>93.779999999999987</v>
      </c>
      <c r="I1172" s="465">
        <f>IF(ISBLANK(H1172),"",SUM(G1172:H1172))</f>
        <v>96.543184999999994</v>
      </c>
      <c r="J1172" s="407">
        <f t="shared" si="274"/>
        <v>122.42</v>
      </c>
      <c r="K1172" s="408" t="s">
        <v>20</v>
      </c>
      <c r="L1172" s="152">
        <v>0</v>
      </c>
      <c r="M1172" s="152"/>
      <c r="N1172" s="402">
        <f t="shared" si="275"/>
        <v>0</v>
      </c>
      <c r="O1172" s="402">
        <f t="shared" si="276"/>
        <v>0</v>
      </c>
      <c r="P1172" s="403"/>
      <c r="Q1172" s="152">
        <f t="shared" si="277"/>
        <v>0</v>
      </c>
      <c r="R1172" s="152">
        <f t="shared" si="277"/>
        <v>0</v>
      </c>
      <c r="S1172" s="402">
        <f t="shared" si="278"/>
        <v>0</v>
      </c>
      <c r="T1172" s="404">
        <f t="shared" si="279"/>
        <v>0</v>
      </c>
      <c r="U1172" s="403"/>
      <c r="W1172" s="43" t="str">
        <f t="shared" si="273"/>
        <v/>
      </c>
      <c r="X1172" s="43" t="str">
        <f t="shared" si="327"/>
        <v/>
      </c>
      <c r="Y1172" s="43" t="str">
        <f t="shared" si="265"/>
        <v/>
      </c>
    </row>
    <row r="1173" spans="1:25" hidden="1">
      <c r="A1173" s="155" t="s">
        <v>183</v>
      </c>
      <c r="B1173" s="156"/>
      <c r="C1173" s="411" t="s">
        <v>251</v>
      </c>
      <c r="D1173" s="351"/>
      <c r="E1173" s="405">
        <v>530</v>
      </c>
      <c r="F1173" s="406">
        <v>1.9E-3</v>
      </c>
      <c r="G1173" s="158">
        <f>IF(E1173&lt;=30,(0.42*E1173+3.55)*F1173,((0.42*30+3.55)+0.35*(E1173-30))*F1173)</f>
        <v>0.36318500000000004</v>
      </c>
      <c r="H1173" s="465"/>
      <c r="I1173" s="465"/>
      <c r="J1173" s="407">
        <f t="shared" si="274"/>
        <v>0</v>
      </c>
      <c r="K1173" s="408"/>
      <c r="L1173" s="152">
        <v>0</v>
      </c>
      <c r="M1173" s="213"/>
      <c r="N1173" s="402">
        <f t="shared" si="275"/>
        <v>0</v>
      </c>
      <c r="O1173" s="402">
        <f t="shared" si="276"/>
        <v>0</v>
      </c>
      <c r="P1173" s="403"/>
      <c r="Q1173" s="464"/>
      <c r="R1173" s="464"/>
      <c r="S1173" s="402">
        <f t="shared" si="278"/>
        <v>0</v>
      </c>
      <c r="T1173" s="404">
        <f t="shared" si="279"/>
        <v>0</v>
      </c>
      <c r="U1173" s="403"/>
      <c r="V1173" s="160" t="str">
        <f>IF(T1172&gt;0,"xx",IF(O1172&gt;0,"xy",""))</f>
        <v/>
      </c>
      <c r="W1173" s="43" t="str">
        <f t="shared" si="273"/>
        <v/>
      </c>
      <c r="X1173" s="43" t="str">
        <f t="shared" si="327"/>
        <v/>
      </c>
      <c r="Y1173" s="43" t="str">
        <f t="shared" si="265"/>
        <v/>
      </c>
    </row>
    <row r="1174" spans="1:25" hidden="1">
      <c r="A1174" s="155" t="s">
        <v>183</v>
      </c>
      <c r="B1174" s="156"/>
      <c r="C1174" s="411" t="s">
        <v>314</v>
      </c>
      <c r="D1174" s="351"/>
      <c r="E1174" s="405">
        <v>180</v>
      </c>
      <c r="F1174" s="406">
        <v>0.01</v>
      </c>
      <c r="G1174" s="158">
        <f t="shared" ref="G1174:G1175" si="330">IF(E1174&lt;=30,(0.6*E1174+1.25)*F1174,((0.6*30+1.25)+0.5*(E1174-30))*F1174)</f>
        <v>0.9425</v>
      </c>
      <c r="H1174" s="465"/>
      <c r="I1174" s="465"/>
      <c r="J1174" s="407">
        <f t="shared" si="274"/>
        <v>0</v>
      </c>
      <c r="K1174" s="408"/>
      <c r="L1174" s="152">
        <v>0</v>
      </c>
      <c r="M1174" s="213"/>
      <c r="N1174" s="402">
        <f t="shared" si="275"/>
        <v>0</v>
      </c>
      <c r="O1174" s="402">
        <f t="shared" si="276"/>
        <v>0</v>
      </c>
      <c r="P1174" s="403"/>
      <c r="Q1174" s="464"/>
      <c r="R1174" s="464"/>
      <c r="S1174" s="402">
        <f t="shared" si="278"/>
        <v>0</v>
      </c>
      <c r="T1174" s="404">
        <f t="shared" si="279"/>
        <v>0</v>
      </c>
      <c r="U1174" s="403"/>
      <c r="V1174" s="160" t="str">
        <f>IF(T1172&gt;0,"xx",IF(O1172&gt;0,"xy",""))</f>
        <v/>
      </c>
      <c r="W1174" s="43" t="str">
        <f t="shared" si="273"/>
        <v/>
      </c>
      <c r="X1174" s="43" t="str">
        <f t="shared" si="327"/>
        <v/>
      </c>
      <c r="Y1174" s="43" t="str">
        <f t="shared" si="265"/>
        <v/>
      </c>
    </row>
    <row r="1175" spans="1:25" hidden="1">
      <c r="A1175" s="155" t="s">
        <v>183</v>
      </c>
      <c r="B1175" s="156"/>
      <c r="C1175" s="411" t="s">
        <v>458</v>
      </c>
      <c r="D1175" s="351"/>
      <c r="E1175" s="405">
        <v>20</v>
      </c>
      <c r="F1175" s="406">
        <v>0.11</v>
      </c>
      <c r="G1175" s="158">
        <f t="shared" si="330"/>
        <v>1.4575</v>
      </c>
      <c r="H1175" s="465"/>
      <c r="I1175" s="465"/>
      <c r="J1175" s="407">
        <f t="shared" si="274"/>
        <v>0</v>
      </c>
      <c r="K1175" s="408"/>
      <c r="L1175" s="152">
        <v>0</v>
      </c>
      <c r="M1175" s="213"/>
      <c r="N1175" s="402">
        <f t="shared" si="275"/>
        <v>0</v>
      </c>
      <c r="O1175" s="402">
        <f t="shared" si="276"/>
        <v>0</v>
      </c>
      <c r="P1175" s="403"/>
      <c r="Q1175" s="464"/>
      <c r="R1175" s="464"/>
      <c r="S1175" s="402">
        <f t="shared" si="278"/>
        <v>0</v>
      </c>
      <c r="T1175" s="404">
        <f t="shared" si="279"/>
        <v>0</v>
      </c>
      <c r="U1175" s="403"/>
      <c r="V1175" s="160" t="str">
        <f>IF(T1172&gt;0,"xx",IF(O1172&gt;0,"xy",""))</f>
        <v/>
      </c>
      <c r="W1175" s="43" t="str">
        <f t="shared" si="273"/>
        <v/>
      </c>
      <c r="X1175" s="43" t="str">
        <f t="shared" si="327"/>
        <v/>
      </c>
      <c r="Y1175" s="43" t="str">
        <f t="shared" si="265"/>
        <v/>
      </c>
    </row>
    <row r="1176" spans="1:25" hidden="1">
      <c r="A1176" s="155" t="s">
        <v>1089</v>
      </c>
      <c r="B1176" s="156" t="s">
        <v>242</v>
      </c>
      <c r="C1176" s="411" t="s">
        <v>980</v>
      </c>
      <c r="D1176" s="351"/>
      <c r="E1176" s="405"/>
      <c r="F1176" s="406"/>
      <c r="G1176" s="158">
        <f>SUM(G1177:G1179)</f>
        <v>4.8307199999999995</v>
      </c>
      <c r="H1176" s="465">
        <v>116.47</v>
      </c>
      <c r="I1176" s="465">
        <f>IF(ISBLANK(H1176),"",SUM(G1176:H1176))</f>
        <v>121.30072</v>
      </c>
      <c r="J1176" s="407">
        <f t="shared" si="274"/>
        <v>153.81</v>
      </c>
      <c r="K1176" s="408" t="s">
        <v>20</v>
      </c>
      <c r="L1176" s="152">
        <v>0</v>
      </c>
      <c r="M1176" s="152"/>
      <c r="N1176" s="402">
        <f t="shared" si="275"/>
        <v>0</v>
      </c>
      <c r="O1176" s="402">
        <f t="shared" si="276"/>
        <v>0</v>
      </c>
      <c r="P1176" s="403"/>
      <c r="Q1176" s="152">
        <f t="shared" si="277"/>
        <v>0</v>
      </c>
      <c r="R1176" s="152">
        <f t="shared" si="277"/>
        <v>0</v>
      </c>
      <c r="S1176" s="402">
        <f t="shared" si="278"/>
        <v>0</v>
      </c>
      <c r="T1176" s="404">
        <f t="shared" si="279"/>
        <v>0</v>
      </c>
      <c r="U1176" s="403"/>
      <c r="W1176" s="43" t="str">
        <f t="shared" si="273"/>
        <v/>
      </c>
      <c r="X1176" s="43" t="str">
        <f t="shared" si="327"/>
        <v/>
      </c>
      <c r="Y1176" s="43" t="str">
        <f t="shared" si="265"/>
        <v/>
      </c>
    </row>
    <row r="1177" spans="1:25" hidden="1">
      <c r="A1177" s="155" t="s">
        <v>183</v>
      </c>
      <c r="B1177" s="156"/>
      <c r="C1177" s="411" t="s">
        <v>251</v>
      </c>
      <c r="D1177" s="351"/>
      <c r="E1177" s="405">
        <v>500</v>
      </c>
      <c r="F1177" s="406">
        <v>2.3E-3</v>
      </c>
      <c r="G1177" s="158">
        <f>IF(E1177&lt;=30,(0.42*E1177+3.55)*F1177,((0.42*30+3.55)+0.35*(E1177-30))*F1177)</f>
        <v>0.415495</v>
      </c>
      <c r="H1177" s="465"/>
      <c r="I1177" s="465"/>
      <c r="J1177" s="407">
        <f t="shared" si="274"/>
        <v>0</v>
      </c>
      <c r="K1177" s="408"/>
      <c r="L1177" s="152">
        <v>0</v>
      </c>
      <c r="M1177" s="213"/>
      <c r="N1177" s="402">
        <f t="shared" si="275"/>
        <v>0</v>
      </c>
      <c r="O1177" s="402">
        <f t="shared" si="276"/>
        <v>0</v>
      </c>
      <c r="P1177" s="403"/>
      <c r="Q1177" s="464"/>
      <c r="R1177" s="464"/>
      <c r="S1177" s="402">
        <f t="shared" si="278"/>
        <v>0</v>
      </c>
      <c r="T1177" s="404">
        <f t="shared" si="279"/>
        <v>0</v>
      </c>
      <c r="U1177" s="403"/>
      <c r="V1177" s="160" t="str">
        <f>IF(T1176&gt;0,"xx",IF(O1176&gt;0,"xy",""))</f>
        <v/>
      </c>
      <c r="W1177" s="43" t="str">
        <f t="shared" si="273"/>
        <v/>
      </c>
      <c r="X1177" s="43" t="str">
        <f t="shared" si="327"/>
        <v/>
      </c>
      <c r="Y1177" s="43" t="str">
        <f t="shared" si="265"/>
        <v/>
      </c>
    </row>
    <row r="1178" spans="1:25" hidden="1">
      <c r="A1178" s="155" t="s">
        <v>183</v>
      </c>
      <c r="B1178" s="156"/>
      <c r="C1178" s="411" t="s">
        <v>314</v>
      </c>
      <c r="D1178" s="351"/>
      <c r="E1178" s="405">
        <v>180</v>
      </c>
      <c r="F1178" s="406">
        <v>1.17E-2</v>
      </c>
      <c r="G1178" s="158">
        <f t="shared" ref="G1178:G1179" si="331">IF(E1178&lt;=30,(0.6*E1178+1.25)*F1178,((0.6*30+1.25)+0.5*(E1178-30))*F1178)</f>
        <v>1.102725</v>
      </c>
      <c r="H1178" s="465"/>
      <c r="I1178" s="465"/>
      <c r="J1178" s="407">
        <f t="shared" si="274"/>
        <v>0</v>
      </c>
      <c r="K1178" s="408"/>
      <c r="L1178" s="152">
        <v>0</v>
      </c>
      <c r="M1178" s="213"/>
      <c r="N1178" s="402">
        <f t="shared" si="275"/>
        <v>0</v>
      </c>
      <c r="O1178" s="402">
        <f t="shared" si="276"/>
        <v>0</v>
      </c>
      <c r="P1178" s="403"/>
      <c r="Q1178" s="464"/>
      <c r="R1178" s="464"/>
      <c r="S1178" s="402">
        <f t="shared" si="278"/>
        <v>0</v>
      </c>
      <c r="T1178" s="404">
        <f t="shared" si="279"/>
        <v>0</v>
      </c>
      <c r="U1178" s="403"/>
      <c r="V1178" s="160" t="str">
        <f>IF(T1176&gt;0,"xx",IF(O1176&gt;0,"xy",""))</f>
        <v/>
      </c>
      <c r="W1178" s="43" t="str">
        <f t="shared" si="273"/>
        <v/>
      </c>
      <c r="X1178" s="43" t="str">
        <f t="shared" si="327"/>
        <v/>
      </c>
      <c r="Y1178" s="43" t="str">
        <f t="shared" si="265"/>
        <v/>
      </c>
    </row>
    <row r="1179" spans="1:25" hidden="1">
      <c r="A1179" s="155" t="s">
        <v>183</v>
      </c>
      <c r="B1179" s="156"/>
      <c r="C1179" s="411" t="s">
        <v>458</v>
      </c>
      <c r="D1179" s="351"/>
      <c r="E1179" s="405">
        <v>20</v>
      </c>
      <c r="F1179" s="406">
        <v>0.25</v>
      </c>
      <c r="G1179" s="158">
        <f t="shared" si="331"/>
        <v>3.3125</v>
      </c>
      <c r="H1179" s="465"/>
      <c r="I1179" s="465"/>
      <c r="J1179" s="407">
        <f t="shared" si="274"/>
        <v>0</v>
      </c>
      <c r="K1179" s="408"/>
      <c r="L1179" s="152">
        <v>0</v>
      </c>
      <c r="M1179" s="213"/>
      <c r="N1179" s="402">
        <f t="shared" si="275"/>
        <v>0</v>
      </c>
      <c r="O1179" s="402">
        <f t="shared" si="276"/>
        <v>0</v>
      </c>
      <c r="P1179" s="403"/>
      <c r="Q1179" s="464"/>
      <c r="R1179" s="464"/>
      <c r="S1179" s="402">
        <f t="shared" si="278"/>
        <v>0</v>
      </c>
      <c r="T1179" s="404">
        <f t="shared" si="279"/>
        <v>0</v>
      </c>
      <c r="U1179" s="403"/>
      <c r="V1179" s="160" t="str">
        <f>IF(T1176&gt;0,"xx",IF(O1176&gt;0,"xy",""))</f>
        <v/>
      </c>
      <c r="W1179" s="43" t="str">
        <f t="shared" si="273"/>
        <v/>
      </c>
      <c r="X1179" s="43" t="str">
        <f t="shared" si="327"/>
        <v/>
      </c>
      <c r="Y1179" s="43" t="str">
        <f t="shared" si="265"/>
        <v/>
      </c>
    </row>
    <row r="1180" spans="1:25" hidden="1">
      <c r="A1180" s="155" t="s">
        <v>981</v>
      </c>
      <c r="B1180" s="156" t="s">
        <v>242</v>
      </c>
      <c r="C1180" s="411" t="s">
        <v>488</v>
      </c>
      <c r="D1180" s="351"/>
      <c r="E1180" s="405"/>
      <c r="F1180" s="406"/>
      <c r="G1180" s="158">
        <f>SUM(G1181:G1183)</f>
        <v>6.9001400000000004</v>
      </c>
      <c r="H1180" s="465">
        <v>139.16</v>
      </c>
      <c r="I1180" s="465">
        <f>IF(ISBLANK(H1180),"",SUM(G1180:H1180))</f>
        <v>146.06013999999999</v>
      </c>
      <c r="J1180" s="407">
        <f t="shared" si="274"/>
        <v>185.2</v>
      </c>
      <c r="K1180" s="408" t="s">
        <v>20</v>
      </c>
      <c r="L1180" s="152">
        <v>0</v>
      </c>
      <c r="M1180" s="152"/>
      <c r="N1180" s="402">
        <f t="shared" si="275"/>
        <v>0</v>
      </c>
      <c r="O1180" s="402">
        <f t="shared" si="276"/>
        <v>0</v>
      </c>
      <c r="P1180" s="403"/>
      <c r="Q1180" s="152">
        <f t="shared" si="277"/>
        <v>0</v>
      </c>
      <c r="R1180" s="152">
        <f t="shared" si="277"/>
        <v>0</v>
      </c>
      <c r="S1180" s="402">
        <f t="shared" si="278"/>
        <v>0</v>
      </c>
      <c r="T1180" s="404">
        <f t="shared" si="279"/>
        <v>0</v>
      </c>
      <c r="U1180" s="403"/>
      <c r="W1180" s="43" t="str">
        <f t="shared" si="273"/>
        <v/>
      </c>
      <c r="X1180" s="43" t="str">
        <f t="shared" si="327"/>
        <v/>
      </c>
      <c r="Y1180" s="43" t="str">
        <f t="shared" si="265"/>
        <v/>
      </c>
    </row>
    <row r="1181" spans="1:25" hidden="1">
      <c r="A1181" s="155" t="s">
        <v>183</v>
      </c>
      <c r="B1181" s="156"/>
      <c r="C1181" s="411" t="s">
        <v>251</v>
      </c>
      <c r="D1181" s="351"/>
      <c r="E1181" s="405">
        <v>500</v>
      </c>
      <c r="F1181" s="406">
        <v>2.5999999999999999E-3</v>
      </c>
      <c r="G1181" s="158">
        <f>IF(E1181&lt;=30,(0.42*E1181+3.55)*F1181,((0.42*30+3.55)+0.35*(E1181-30))*F1181)</f>
        <v>0.46969</v>
      </c>
      <c r="H1181" s="465"/>
      <c r="I1181" s="465"/>
      <c r="J1181" s="407">
        <f t="shared" si="274"/>
        <v>0</v>
      </c>
      <c r="K1181" s="408"/>
      <c r="L1181" s="152">
        <v>0</v>
      </c>
      <c r="M1181" s="213"/>
      <c r="N1181" s="402">
        <f t="shared" si="275"/>
        <v>0</v>
      </c>
      <c r="O1181" s="402">
        <f t="shared" si="276"/>
        <v>0</v>
      </c>
      <c r="P1181" s="403"/>
      <c r="Q1181" s="464"/>
      <c r="R1181" s="464"/>
      <c r="S1181" s="402">
        <f t="shared" si="278"/>
        <v>0</v>
      </c>
      <c r="T1181" s="404">
        <f t="shared" si="279"/>
        <v>0</v>
      </c>
      <c r="U1181" s="403"/>
      <c r="V1181" s="160" t="str">
        <f>IF(T1180&gt;0,"xx",IF(O1180&gt;0,"xy",""))</f>
        <v/>
      </c>
      <c r="W1181" s="43" t="str">
        <f t="shared" si="273"/>
        <v/>
      </c>
      <c r="X1181" s="43" t="str">
        <f t="shared" si="327"/>
        <v/>
      </c>
      <c r="Y1181" s="43" t="str">
        <f t="shared" si="265"/>
        <v/>
      </c>
    </row>
    <row r="1182" spans="1:25" hidden="1">
      <c r="A1182" s="155" t="s">
        <v>183</v>
      </c>
      <c r="B1182" s="156"/>
      <c r="C1182" s="411" t="s">
        <v>314</v>
      </c>
      <c r="D1182" s="351"/>
      <c r="E1182" s="405">
        <v>180</v>
      </c>
      <c r="F1182" s="406">
        <v>1.34E-2</v>
      </c>
      <c r="G1182" s="158">
        <f t="shared" ref="G1182:G1183" si="332">IF(E1182&lt;=30,(0.6*E1182+1.25)*F1182,((0.6*30+1.25)+0.5*(E1182-30))*F1182)</f>
        <v>1.26295</v>
      </c>
      <c r="H1182" s="465"/>
      <c r="I1182" s="465"/>
      <c r="J1182" s="407">
        <f t="shared" si="274"/>
        <v>0</v>
      </c>
      <c r="K1182" s="408"/>
      <c r="L1182" s="152">
        <v>0</v>
      </c>
      <c r="M1182" s="213"/>
      <c r="N1182" s="402">
        <f t="shared" si="275"/>
        <v>0</v>
      </c>
      <c r="O1182" s="402">
        <f t="shared" si="276"/>
        <v>0</v>
      </c>
      <c r="P1182" s="403"/>
      <c r="Q1182" s="464"/>
      <c r="R1182" s="464"/>
      <c r="S1182" s="402">
        <f t="shared" si="278"/>
        <v>0</v>
      </c>
      <c r="T1182" s="404">
        <f t="shared" si="279"/>
        <v>0</v>
      </c>
      <c r="U1182" s="403"/>
      <c r="V1182" s="160" t="str">
        <f>IF(T1180&gt;0,"xx",IF(O1180&gt;0,"xy",""))</f>
        <v/>
      </c>
      <c r="W1182" s="43" t="str">
        <f t="shared" si="273"/>
        <v/>
      </c>
      <c r="X1182" s="43" t="str">
        <f t="shared" si="327"/>
        <v/>
      </c>
      <c r="Y1182" s="43" t="str">
        <f t="shared" si="265"/>
        <v/>
      </c>
    </row>
    <row r="1183" spans="1:25" hidden="1">
      <c r="A1183" s="155" t="s">
        <v>183</v>
      </c>
      <c r="B1183" s="156"/>
      <c r="C1183" s="411" t="s">
        <v>458</v>
      </c>
      <c r="D1183" s="351"/>
      <c r="E1183" s="405">
        <v>20</v>
      </c>
      <c r="F1183" s="406">
        <v>0.39</v>
      </c>
      <c r="G1183" s="158">
        <f t="shared" si="332"/>
        <v>5.1675000000000004</v>
      </c>
      <c r="H1183" s="465"/>
      <c r="I1183" s="465"/>
      <c r="J1183" s="407">
        <f t="shared" si="274"/>
        <v>0</v>
      </c>
      <c r="K1183" s="408"/>
      <c r="L1183" s="152">
        <v>0</v>
      </c>
      <c r="M1183" s="213"/>
      <c r="N1183" s="402">
        <f t="shared" si="275"/>
        <v>0</v>
      </c>
      <c r="O1183" s="402">
        <f t="shared" si="276"/>
        <v>0</v>
      </c>
      <c r="P1183" s="403"/>
      <c r="Q1183" s="464"/>
      <c r="R1183" s="464"/>
      <c r="S1183" s="402">
        <f t="shared" si="278"/>
        <v>0</v>
      </c>
      <c r="T1183" s="404">
        <f t="shared" si="279"/>
        <v>0</v>
      </c>
      <c r="U1183" s="403"/>
      <c r="V1183" s="160" t="str">
        <f>IF(T1180&gt;0,"xx",IF(O1180&gt;0,"xy",""))</f>
        <v/>
      </c>
      <c r="W1183" s="43" t="str">
        <f t="shared" si="273"/>
        <v/>
      </c>
      <c r="X1183" s="43" t="str">
        <f t="shared" si="327"/>
        <v/>
      </c>
      <c r="Y1183" s="43" t="str">
        <f t="shared" si="265"/>
        <v/>
      </c>
    </row>
    <row r="1184" spans="1:25" hidden="1">
      <c r="A1184" s="155" t="s">
        <v>1090</v>
      </c>
      <c r="B1184" s="156" t="s">
        <v>242</v>
      </c>
      <c r="C1184" s="411" t="s">
        <v>978</v>
      </c>
      <c r="D1184" s="351"/>
      <c r="E1184" s="405"/>
      <c r="F1184" s="406"/>
      <c r="G1184" s="158">
        <f>SUM(G1185:G1187)</f>
        <v>8.9695599999999995</v>
      </c>
      <c r="H1184" s="465">
        <v>181.29499999999999</v>
      </c>
      <c r="I1184" s="465">
        <f>IF(ISBLANK(H1184),"",SUM(G1184:H1184))</f>
        <v>190.26455999999999</v>
      </c>
      <c r="J1184" s="407">
        <f t="shared" si="274"/>
        <v>241.26</v>
      </c>
      <c r="K1184" s="408" t="s">
        <v>20</v>
      </c>
      <c r="L1184" s="152">
        <v>0</v>
      </c>
      <c r="M1184" s="152"/>
      <c r="N1184" s="402">
        <f t="shared" si="275"/>
        <v>0</v>
      </c>
      <c r="O1184" s="402">
        <f t="shared" si="276"/>
        <v>0</v>
      </c>
      <c r="P1184" s="403"/>
      <c r="Q1184" s="152">
        <f t="shared" si="277"/>
        <v>0</v>
      </c>
      <c r="R1184" s="152">
        <f t="shared" si="277"/>
        <v>0</v>
      </c>
      <c r="S1184" s="402">
        <f t="shared" si="278"/>
        <v>0</v>
      </c>
      <c r="T1184" s="404">
        <f t="shared" si="279"/>
        <v>0</v>
      </c>
      <c r="U1184" s="403"/>
      <c r="W1184" s="43" t="str">
        <f t="shared" si="273"/>
        <v/>
      </c>
      <c r="X1184" s="43" t="str">
        <f t="shared" si="327"/>
        <v/>
      </c>
      <c r="Y1184" s="43" t="str">
        <f t="shared" si="265"/>
        <v/>
      </c>
    </row>
    <row r="1185" spans="1:25" hidden="1">
      <c r="A1185" s="155" t="s">
        <v>183</v>
      </c>
      <c r="B1185" s="156"/>
      <c r="C1185" s="411" t="s">
        <v>251</v>
      </c>
      <c r="D1185" s="351"/>
      <c r="E1185" s="405">
        <v>500</v>
      </c>
      <c r="F1185" s="406">
        <v>2.8999999999999998E-3</v>
      </c>
      <c r="G1185" s="158">
        <f>IF(E1185&lt;=30,(0.42*E1185+3.55)*F1185,((0.42*30+3.55)+0.35*(E1185-30))*F1185)</f>
        <v>0.52388499999999993</v>
      </c>
      <c r="H1185" s="465"/>
      <c r="I1185" s="465"/>
      <c r="J1185" s="407">
        <f t="shared" si="274"/>
        <v>0</v>
      </c>
      <c r="K1185" s="408"/>
      <c r="L1185" s="152">
        <v>0</v>
      </c>
      <c r="M1185" s="213"/>
      <c r="N1185" s="402">
        <f t="shared" si="275"/>
        <v>0</v>
      </c>
      <c r="O1185" s="402">
        <f t="shared" si="276"/>
        <v>0</v>
      </c>
      <c r="P1185" s="403"/>
      <c r="Q1185" s="464"/>
      <c r="R1185" s="464"/>
      <c r="S1185" s="402">
        <f t="shared" si="278"/>
        <v>0</v>
      </c>
      <c r="T1185" s="404">
        <f t="shared" si="279"/>
        <v>0</v>
      </c>
      <c r="U1185" s="403"/>
      <c r="V1185" s="160" t="str">
        <f>IF(T1184&gt;0,"xx",IF(O1184&gt;0,"xy",""))</f>
        <v/>
      </c>
      <c r="W1185" s="43" t="str">
        <f t="shared" si="273"/>
        <v/>
      </c>
      <c r="X1185" s="43" t="str">
        <f t="shared" si="327"/>
        <v/>
      </c>
      <c r="Y1185" s="43" t="str">
        <f t="shared" si="265"/>
        <v/>
      </c>
    </row>
    <row r="1186" spans="1:25" hidden="1">
      <c r="A1186" s="155" t="s">
        <v>183</v>
      </c>
      <c r="B1186" s="156"/>
      <c r="C1186" s="411" t="s">
        <v>314</v>
      </c>
      <c r="D1186" s="351"/>
      <c r="E1186" s="405">
        <v>180</v>
      </c>
      <c r="F1186" s="406">
        <v>1.5100000000000001E-2</v>
      </c>
      <c r="G1186" s="158">
        <f t="shared" ref="G1186:G1187" si="333">IF(E1186&lt;=30,(0.6*E1186+1.25)*F1186,((0.6*30+1.25)+0.5*(E1186-30))*F1186)</f>
        <v>1.4231750000000001</v>
      </c>
      <c r="H1186" s="465"/>
      <c r="I1186" s="465"/>
      <c r="J1186" s="407">
        <f t="shared" si="274"/>
        <v>0</v>
      </c>
      <c r="K1186" s="408"/>
      <c r="L1186" s="152">
        <v>0</v>
      </c>
      <c r="M1186" s="213"/>
      <c r="N1186" s="402">
        <f t="shared" si="275"/>
        <v>0</v>
      </c>
      <c r="O1186" s="402">
        <f t="shared" si="276"/>
        <v>0</v>
      </c>
      <c r="P1186" s="403"/>
      <c r="Q1186" s="464"/>
      <c r="R1186" s="464"/>
      <c r="S1186" s="402">
        <f t="shared" si="278"/>
        <v>0</v>
      </c>
      <c r="T1186" s="404">
        <f t="shared" si="279"/>
        <v>0</v>
      </c>
      <c r="U1186" s="403"/>
      <c r="V1186" s="160" t="str">
        <f>IF(T1184&gt;0,"xx",IF(O1184&gt;0,"xy",""))</f>
        <v/>
      </c>
      <c r="W1186" s="43" t="str">
        <f t="shared" si="273"/>
        <v/>
      </c>
      <c r="X1186" s="43" t="str">
        <f t="shared" si="327"/>
        <v/>
      </c>
      <c r="Y1186" s="43" t="str">
        <f t="shared" si="265"/>
        <v/>
      </c>
    </row>
    <row r="1187" spans="1:25" hidden="1">
      <c r="A1187" s="155" t="s">
        <v>183</v>
      </c>
      <c r="B1187" s="156"/>
      <c r="C1187" s="411" t="s">
        <v>458</v>
      </c>
      <c r="D1187" s="351"/>
      <c r="E1187" s="405">
        <v>20</v>
      </c>
      <c r="F1187" s="406">
        <v>0.53</v>
      </c>
      <c r="G1187" s="158">
        <f t="shared" si="333"/>
        <v>7.0225</v>
      </c>
      <c r="H1187" s="465"/>
      <c r="I1187" s="465"/>
      <c r="J1187" s="407">
        <f t="shared" si="274"/>
        <v>0</v>
      </c>
      <c r="K1187" s="408"/>
      <c r="L1187" s="152">
        <v>0</v>
      </c>
      <c r="M1187" s="213"/>
      <c r="N1187" s="402">
        <f t="shared" si="275"/>
        <v>0</v>
      </c>
      <c r="O1187" s="402">
        <f t="shared" si="276"/>
        <v>0</v>
      </c>
      <c r="P1187" s="403"/>
      <c r="Q1187" s="464"/>
      <c r="R1187" s="464"/>
      <c r="S1187" s="402">
        <f t="shared" si="278"/>
        <v>0</v>
      </c>
      <c r="T1187" s="404">
        <f t="shared" si="279"/>
        <v>0</v>
      </c>
      <c r="U1187" s="403"/>
      <c r="V1187" s="160" t="str">
        <f>IF(T1184&gt;0,"xx",IF(O1184&gt;0,"xy",""))</f>
        <v/>
      </c>
      <c r="W1187" s="43" t="str">
        <f t="shared" si="273"/>
        <v/>
      </c>
      <c r="X1187" s="43" t="str">
        <f t="shared" si="327"/>
        <v/>
      </c>
      <c r="Y1187" s="43" t="str">
        <f t="shared" si="265"/>
        <v/>
      </c>
    </row>
    <row r="1188" spans="1:25">
      <c r="A1188" s="155" t="s">
        <v>983</v>
      </c>
      <c r="B1188" s="156" t="s">
        <v>242</v>
      </c>
      <c r="C1188" s="411" t="s">
        <v>489</v>
      </c>
      <c r="D1188" s="351"/>
      <c r="E1188" s="405"/>
      <c r="F1188" s="406"/>
      <c r="G1188" s="158">
        <f>SUM(G1189:G1191)</f>
        <v>3.7885800000000001</v>
      </c>
      <c r="H1188" s="465">
        <v>223.42999999999998</v>
      </c>
      <c r="I1188" s="465">
        <f>IF(ISBLANK(H1188),"",SUM(G1188:H1188))</f>
        <v>227.21857999999997</v>
      </c>
      <c r="J1188" s="407">
        <f t="shared" si="274"/>
        <v>288.11</v>
      </c>
      <c r="K1188" s="408" t="s">
        <v>20</v>
      </c>
      <c r="L1188" s="152">
        <v>376</v>
      </c>
      <c r="M1188" s="152">
        <v>288.11</v>
      </c>
      <c r="N1188" s="402">
        <f t="shared" si="275"/>
        <v>108329.36</v>
      </c>
      <c r="O1188" s="402">
        <f t="shared" si="276"/>
        <v>108329.36</v>
      </c>
      <c r="P1188" s="403"/>
      <c r="Q1188" s="152">
        <f t="shared" si="277"/>
        <v>376</v>
      </c>
      <c r="R1188" s="152">
        <f t="shared" si="277"/>
        <v>288.11</v>
      </c>
      <c r="S1188" s="402">
        <f t="shared" si="278"/>
        <v>108329.36</v>
      </c>
      <c r="T1188" s="404">
        <f t="shared" si="279"/>
        <v>108329.36</v>
      </c>
      <c r="U1188" s="403"/>
      <c r="W1188" s="43" t="str">
        <f t="shared" si="273"/>
        <v>x</v>
      </c>
      <c r="X1188" s="43" t="str">
        <f t="shared" si="327"/>
        <v>x</v>
      </c>
      <c r="Y1188" s="43" t="str">
        <f t="shared" si="265"/>
        <v>x</v>
      </c>
    </row>
    <row r="1189" spans="1:25">
      <c r="A1189" s="155" t="s">
        <v>183</v>
      </c>
      <c r="B1189" s="156"/>
      <c r="C1189" s="411" t="s">
        <v>251</v>
      </c>
      <c r="D1189" s="351"/>
      <c r="E1189" s="405">
        <v>530</v>
      </c>
      <c r="F1189" s="406">
        <v>3.2000000000000002E-3</v>
      </c>
      <c r="G1189" s="158">
        <f>IF(E1189&lt;=30,(0.42*E1189+3.55)*F1189,((0.42*30+3.55)+0.35*(E1189-30))*F1189)</f>
        <v>0.61168</v>
      </c>
      <c r="H1189" s="465"/>
      <c r="I1189" s="465"/>
      <c r="J1189" s="407">
        <f t="shared" si="274"/>
        <v>0</v>
      </c>
      <c r="K1189" s="408"/>
      <c r="L1189" s="152">
        <v>0</v>
      </c>
      <c r="M1189" s="213"/>
      <c r="N1189" s="402">
        <f t="shared" si="275"/>
        <v>0</v>
      </c>
      <c r="O1189" s="402">
        <f t="shared" si="276"/>
        <v>0</v>
      </c>
      <c r="P1189" s="403"/>
      <c r="Q1189" s="464"/>
      <c r="R1189" s="464"/>
      <c r="S1189" s="402">
        <f t="shared" si="278"/>
        <v>0</v>
      </c>
      <c r="T1189" s="404">
        <f t="shared" si="279"/>
        <v>0</v>
      </c>
      <c r="U1189" s="403"/>
      <c r="V1189" s="160" t="str">
        <f>IF(T1188&gt;0,"xx",IF(O1188&gt;0,"xy",""))</f>
        <v>xx</v>
      </c>
      <c r="W1189" s="43" t="str">
        <f t="shared" si="273"/>
        <v>x</v>
      </c>
      <c r="X1189" s="43" t="str">
        <f t="shared" si="327"/>
        <v>x</v>
      </c>
      <c r="Y1189" s="43" t="str">
        <f t="shared" si="265"/>
        <v/>
      </c>
    </row>
    <row r="1190" spans="1:25">
      <c r="A1190" s="155" t="s">
        <v>183</v>
      </c>
      <c r="B1190" s="156"/>
      <c r="C1190" s="411" t="s">
        <v>314</v>
      </c>
      <c r="D1190" s="351"/>
      <c r="E1190" s="405">
        <v>270</v>
      </c>
      <c r="F1190" s="406">
        <v>1.6799999999999999E-2</v>
      </c>
      <c r="G1190" s="158">
        <f t="shared" ref="G1190:G1191" si="334">IF(E1190&lt;=30,(0.6*E1190+1.25)*F1190,((0.6*30+1.25)+0.5*(E1190-30))*F1190)</f>
        <v>2.3393999999999999</v>
      </c>
      <c r="H1190" s="465"/>
      <c r="I1190" s="465"/>
      <c r="J1190" s="407">
        <f t="shared" si="274"/>
        <v>0</v>
      </c>
      <c r="K1190" s="408"/>
      <c r="L1190" s="152">
        <v>0</v>
      </c>
      <c r="M1190" s="213"/>
      <c r="N1190" s="402">
        <f t="shared" si="275"/>
        <v>0</v>
      </c>
      <c r="O1190" s="402">
        <f t="shared" si="276"/>
        <v>0</v>
      </c>
      <c r="P1190" s="403"/>
      <c r="Q1190" s="464"/>
      <c r="R1190" s="464"/>
      <c r="S1190" s="402">
        <f t="shared" si="278"/>
        <v>0</v>
      </c>
      <c r="T1190" s="404">
        <f t="shared" si="279"/>
        <v>0</v>
      </c>
      <c r="U1190" s="403"/>
      <c r="V1190" s="160" t="str">
        <f>IF(T1188&gt;0,"xx",IF(O1188&gt;0,"xy",""))</f>
        <v>xx</v>
      </c>
      <c r="W1190" s="43" t="str">
        <f t="shared" si="273"/>
        <v>x</v>
      </c>
      <c r="X1190" s="43" t="str">
        <f t="shared" si="327"/>
        <v>x</v>
      </c>
      <c r="Y1190" s="43" t="str">
        <f t="shared" si="265"/>
        <v/>
      </c>
    </row>
    <row r="1191" spans="1:25">
      <c r="A1191" s="155" t="s">
        <v>183</v>
      </c>
      <c r="B1191" s="156"/>
      <c r="C1191" s="411" t="s">
        <v>458</v>
      </c>
      <c r="D1191" s="351"/>
      <c r="E1191" s="405"/>
      <c r="F1191" s="406">
        <v>0.67</v>
      </c>
      <c r="G1191" s="158">
        <f t="shared" si="334"/>
        <v>0.83750000000000002</v>
      </c>
      <c r="H1191" s="465"/>
      <c r="I1191" s="465"/>
      <c r="J1191" s="407">
        <f t="shared" si="274"/>
        <v>0</v>
      </c>
      <c r="K1191" s="408"/>
      <c r="L1191" s="152">
        <v>0</v>
      </c>
      <c r="M1191" s="213"/>
      <c r="N1191" s="402">
        <f t="shared" si="275"/>
        <v>0</v>
      </c>
      <c r="O1191" s="402">
        <f t="shared" si="276"/>
        <v>0</v>
      </c>
      <c r="P1191" s="403"/>
      <c r="Q1191" s="464"/>
      <c r="R1191" s="464"/>
      <c r="S1191" s="402">
        <f t="shared" si="278"/>
        <v>0</v>
      </c>
      <c r="T1191" s="404">
        <f t="shared" si="279"/>
        <v>0</v>
      </c>
      <c r="U1191" s="403"/>
      <c r="V1191" s="160" t="str">
        <f>IF(T1188&gt;0,"xx",IF(O1188&gt;0,"xy",""))</f>
        <v>xx</v>
      </c>
      <c r="W1191" s="43" t="str">
        <f t="shared" si="273"/>
        <v>x</v>
      </c>
      <c r="X1191" s="43" t="str">
        <f t="shared" si="327"/>
        <v>x</v>
      </c>
      <c r="Y1191" s="43" t="str">
        <f t="shared" si="265"/>
        <v/>
      </c>
    </row>
    <row r="1192" spans="1:25" hidden="1">
      <c r="A1192" s="155" t="s">
        <v>1091</v>
      </c>
      <c r="B1192" s="156" t="s">
        <v>242</v>
      </c>
      <c r="C1192" s="411" t="s">
        <v>979</v>
      </c>
      <c r="D1192" s="351"/>
      <c r="E1192" s="405"/>
      <c r="F1192" s="406"/>
      <c r="G1192" s="158">
        <f>SUM(G1193:G1195)</f>
        <v>13.765599999999999</v>
      </c>
      <c r="H1192" s="465">
        <v>272.42</v>
      </c>
      <c r="I1192" s="465">
        <f>IF(ISBLANK(H1192),"",SUM(G1192:H1192))</f>
        <v>286.18560000000002</v>
      </c>
      <c r="J1192" s="407">
        <f t="shared" si="274"/>
        <v>362.88</v>
      </c>
      <c r="K1192" s="408" t="s">
        <v>20</v>
      </c>
      <c r="L1192" s="152">
        <v>0</v>
      </c>
      <c r="M1192" s="152"/>
      <c r="N1192" s="402">
        <f t="shared" si="275"/>
        <v>0</v>
      </c>
      <c r="O1192" s="402">
        <f t="shared" si="276"/>
        <v>0</v>
      </c>
      <c r="P1192" s="403"/>
      <c r="Q1192" s="152">
        <f t="shared" si="277"/>
        <v>0</v>
      </c>
      <c r="R1192" s="152">
        <f t="shared" si="277"/>
        <v>0</v>
      </c>
      <c r="S1192" s="402">
        <f t="shared" si="278"/>
        <v>0</v>
      </c>
      <c r="T1192" s="404">
        <f t="shared" si="279"/>
        <v>0</v>
      </c>
      <c r="U1192" s="403"/>
      <c r="W1192" s="43" t="str">
        <f t="shared" si="273"/>
        <v/>
      </c>
      <c r="X1192" s="43" t="str">
        <f t="shared" si="327"/>
        <v/>
      </c>
      <c r="Y1192" s="43" t="str">
        <f t="shared" si="265"/>
        <v/>
      </c>
    </row>
    <row r="1193" spans="1:25" hidden="1">
      <c r="A1193" s="155" t="s">
        <v>183</v>
      </c>
      <c r="B1193" s="156"/>
      <c r="C1193" s="411" t="s">
        <v>251</v>
      </c>
      <c r="D1193" s="351"/>
      <c r="E1193" s="405">
        <v>500</v>
      </c>
      <c r="F1193" s="406">
        <v>4.0000000000000001E-3</v>
      </c>
      <c r="G1193" s="158">
        <f>IF(E1193&lt;=30,(0.42*E1193+3.55)*F1193,((0.42*30+3.55)+0.35*(E1193-30))*F1193)</f>
        <v>0.72260000000000002</v>
      </c>
      <c r="H1193" s="465"/>
      <c r="I1193" s="465"/>
      <c r="J1193" s="407">
        <f t="shared" si="274"/>
        <v>0</v>
      </c>
      <c r="K1193" s="408"/>
      <c r="L1193" s="152">
        <v>0</v>
      </c>
      <c r="M1193" s="213"/>
      <c r="N1193" s="402">
        <f t="shared" si="275"/>
        <v>0</v>
      </c>
      <c r="O1193" s="402">
        <f t="shared" si="276"/>
        <v>0</v>
      </c>
      <c r="P1193" s="403"/>
      <c r="Q1193" s="464"/>
      <c r="R1193" s="464"/>
      <c r="S1193" s="402">
        <f t="shared" si="278"/>
        <v>0</v>
      </c>
      <c r="T1193" s="404">
        <f t="shared" si="279"/>
        <v>0</v>
      </c>
      <c r="U1193" s="403"/>
      <c r="V1193" s="160" t="str">
        <f>IF(T1192&gt;0,"xx",IF(O1192&gt;0,"xy",""))</f>
        <v/>
      </c>
      <c r="W1193" s="43" t="str">
        <f t="shared" si="273"/>
        <v/>
      </c>
      <c r="X1193" s="43" t="str">
        <f t="shared" si="327"/>
        <v/>
      </c>
      <c r="Y1193" s="43" t="str">
        <f t="shared" si="265"/>
        <v/>
      </c>
    </row>
    <row r="1194" spans="1:25" hidden="1">
      <c r="A1194" s="155" t="s">
        <v>183</v>
      </c>
      <c r="B1194" s="156"/>
      <c r="C1194" s="411" t="s">
        <v>314</v>
      </c>
      <c r="D1194" s="351"/>
      <c r="E1194" s="405">
        <v>180</v>
      </c>
      <c r="F1194" s="406">
        <v>2.1000000000000001E-2</v>
      </c>
      <c r="G1194" s="158">
        <f t="shared" ref="G1194:G1195" si="335">IF(E1194&lt;=30,(0.6*E1194+1.25)*F1194,((0.6*30+1.25)+0.5*(E1194-30))*F1194)</f>
        <v>1.9792500000000002</v>
      </c>
      <c r="H1194" s="465"/>
      <c r="I1194" s="465"/>
      <c r="J1194" s="407">
        <f t="shared" si="274"/>
        <v>0</v>
      </c>
      <c r="K1194" s="408"/>
      <c r="L1194" s="152">
        <v>0</v>
      </c>
      <c r="M1194" s="213"/>
      <c r="N1194" s="402">
        <f t="shared" si="275"/>
        <v>0</v>
      </c>
      <c r="O1194" s="402">
        <f t="shared" si="276"/>
        <v>0</v>
      </c>
      <c r="P1194" s="403"/>
      <c r="Q1194" s="464"/>
      <c r="R1194" s="464"/>
      <c r="S1194" s="402">
        <f t="shared" si="278"/>
        <v>0</v>
      </c>
      <c r="T1194" s="404">
        <f t="shared" ref="T1194:T1257" si="336">IF(ISBLANK(Q1194),0,ROUND(Q1194*R1194,2))</f>
        <v>0</v>
      </c>
      <c r="U1194" s="403"/>
      <c r="V1194" s="160" t="str">
        <f>IF(T1192&gt;0,"xx",IF(O1192&gt;0,"xy",""))</f>
        <v/>
      </c>
      <c r="W1194" s="43" t="str">
        <f t="shared" si="273"/>
        <v/>
      </c>
      <c r="X1194" s="43" t="str">
        <f t="shared" si="327"/>
        <v/>
      </c>
      <c r="Y1194" s="43" t="str">
        <f t="shared" si="265"/>
        <v/>
      </c>
    </row>
    <row r="1195" spans="1:25" hidden="1">
      <c r="A1195" s="155" t="s">
        <v>183</v>
      </c>
      <c r="B1195" s="156"/>
      <c r="C1195" s="411" t="s">
        <v>458</v>
      </c>
      <c r="D1195" s="351"/>
      <c r="E1195" s="405">
        <v>20</v>
      </c>
      <c r="F1195" s="406">
        <v>0.83499999999999996</v>
      </c>
      <c r="G1195" s="158">
        <f t="shared" si="335"/>
        <v>11.063749999999999</v>
      </c>
      <c r="H1195" s="465"/>
      <c r="I1195" s="465"/>
      <c r="J1195" s="407">
        <f t="shared" si="274"/>
        <v>0</v>
      </c>
      <c r="K1195" s="408"/>
      <c r="L1195" s="152">
        <v>0</v>
      </c>
      <c r="M1195" s="213"/>
      <c r="N1195" s="402">
        <f t="shared" ref="N1195:N1258" si="337">IF(ISBLANK(L1195),0,ROUND(J1195*L1195,2))</f>
        <v>0</v>
      </c>
      <c r="O1195" s="402">
        <f t="shared" ref="O1195:O1258" si="338">IF(ISBLANK(M1195),0,ROUND(L1195*M1195,2))</f>
        <v>0</v>
      </c>
      <c r="P1195" s="403"/>
      <c r="Q1195" s="464"/>
      <c r="R1195" s="464"/>
      <c r="S1195" s="402">
        <f t="shared" ref="S1195:S1258" si="339">IF(ISBLANK(Q1195),0,ROUND(J1195*Q1195,2))</f>
        <v>0</v>
      </c>
      <c r="T1195" s="404">
        <f t="shared" si="336"/>
        <v>0</v>
      </c>
      <c r="U1195" s="403"/>
      <c r="V1195" s="160" t="str">
        <f>IF(T1192&gt;0,"xx",IF(O1192&gt;0,"xy",""))</f>
        <v/>
      </c>
      <c r="W1195" s="43" t="str">
        <f t="shared" si="273"/>
        <v/>
      </c>
      <c r="X1195" s="43" t="str">
        <f t="shared" si="327"/>
        <v/>
      </c>
      <c r="Y1195" s="43" t="str">
        <f t="shared" si="265"/>
        <v/>
      </c>
    </row>
    <row r="1196" spans="1:25" hidden="1">
      <c r="A1196" s="155" t="s">
        <v>985</v>
      </c>
      <c r="B1196" s="156" t="s">
        <v>242</v>
      </c>
      <c r="C1196" s="411" t="s">
        <v>490</v>
      </c>
      <c r="D1196" s="351"/>
      <c r="E1196" s="405"/>
      <c r="F1196" s="406"/>
      <c r="G1196" s="158">
        <f>SUM(G1197:G1199)</f>
        <v>16.49222</v>
      </c>
      <c r="H1196" s="465">
        <v>321.41000000000003</v>
      </c>
      <c r="I1196" s="465">
        <f>IF(ISBLANK(H1196),"",SUM(G1196:H1196))</f>
        <v>337.90222</v>
      </c>
      <c r="J1196" s="407">
        <f t="shared" si="274"/>
        <v>428.46</v>
      </c>
      <c r="K1196" s="408" t="s">
        <v>20</v>
      </c>
      <c r="L1196" s="152">
        <v>0</v>
      </c>
      <c r="M1196" s="152"/>
      <c r="N1196" s="402">
        <f t="shared" si="337"/>
        <v>0</v>
      </c>
      <c r="O1196" s="402">
        <f t="shared" si="338"/>
        <v>0</v>
      </c>
      <c r="P1196" s="403"/>
      <c r="Q1196" s="152">
        <f t="shared" ref="Q1196:R1208" si="340">L1196</f>
        <v>0</v>
      </c>
      <c r="R1196" s="152">
        <f t="shared" si="340"/>
        <v>0</v>
      </c>
      <c r="S1196" s="402">
        <f t="shared" si="339"/>
        <v>0</v>
      </c>
      <c r="T1196" s="404">
        <f t="shared" si="336"/>
        <v>0</v>
      </c>
      <c r="U1196" s="403"/>
      <c r="W1196" s="43" t="str">
        <f t="shared" si="273"/>
        <v/>
      </c>
      <c r="X1196" s="43" t="str">
        <f t="shared" si="327"/>
        <v/>
      </c>
      <c r="Y1196" s="43" t="str">
        <f t="shared" si="265"/>
        <v/>
      </c>
    </row>
    <row r="1197" spans="1:25" hidden="1">
      <c r="A1197" s="155" t="s">
        <v>183</v>
      </c>
      <c r="B1197" s="156"/>
      <c r="C1197" s="411" t="s">
        <v>251</v>
      </c>
      <c r="D1197" s="351"/>
      <c r="E1197" s="405">
        <v>500</v>
      </c>
      <c r="F1197" s="406">
        <v>4.7999999999999996E-3</v>
      </c>
      <c r="G1197" s="158">
        <f>IF(E1197&lt;=30,(0.42*E1197+3.55)*F1197,((0.42*30+3.55)+0.35*(E1197-30))*F1197)</f>
        <v>0.86712</v>
      </c>
      <c r="H1197" s="465"/>
      <c r="I1197" s="465"/>
      <c r="J1197" s="407">
        <f t="shared" si="274"/>
        <v>0</v>
      </c>
      <c r="K1197" s="408"/>
      <c r="L1197" s="152">
        <v>0</v>
      </c>
      <c r="M1197" s="213"/>
      <c r="N1197" s="402">
        <f t="shared" si="337"/>
        <v>0</v>
      </c>
      <c r="O1197" s="402">
        <f t="shared" si="338"/>
        <v>0</v>
      </c>
      <c r="P1197" s="403"/>
      <c r="Q1197" s="464"/>
      <c r="R1197" s="464"/>
      <c r="S1197" s="402">
        <f t="shared" si="339"/>
        <v>0</v>
      </c>
      <c r="T1197" s="404">
        <f t="shared" si="336"/>
        <v>0</v>
      </c>
      <c r="U1197" s="403"/>
      <c r="V1197" s="160" t="str">
        <f>IF(T1196&gt;0,"xx",IF(O1196&gt;0,"xy",""))</f>
        <v/>
      </c>
      <c r="W1197" s="43" t="str">
        <f t="shared" si="273"/>
        <v/>
      </c>
      <c r="X1197" s="43" t="str">
        <f t="shared" si="327"/>
        <v/>
      </c>
      <c r="Y1197" s="43" t="str">
        <f t="shared" si="265"/>
        <v/>
      </c>
    </row>
    <row r="1198" spans="1:25" hidden="1">
      <c r="A1198" s="155" t="s">
        <v>183</v>
      </c>
      <c r="B1198" s="156"/>
      <c r="C1198" s="411" t="s">
        <v>314</v>
      </c>
      <c r="D1198" s="351"/>
      <c r="E1198" s="405">
        <v>180</v>
      </c>
      <c r="F1198" s="406">
        <v>2.52E-2</v>
      </c>
      <c r="G1198" s="158">
        <f t="shared" ref="G1198:G1199" si="341">IF(E1198&lt;=30,(0.6*E1198+1.25)*F1198,((0.6*30+1.25)+0.5*(E1198-30))*F1198)</f>
        <v>2.3751000000000002</v>
      </c>
      <c r="H1198" s="465"/>
      <c r="I1198" s="465"/>
      <c r="J1198" s="407">
        <f t="shared" si="274"/>
        <v>0</v>
      </c>
      <c r="K1198" s="408"/>
      <c r="L1198" s="152">
        <v>0</v>
      </c>
      <c r="M1198" s="213"/>
      <c r="N1198" s="402">
        <f t="shared" si="337"/>
        <v>0</v>
      </c>
      <c r="O1198" s="402">
        <f t="shared" si="338"/>
        <v>0</v>
      </c>
      <c r="P1198" s="403"/>
      <c r="Q1198" s="464"/>
      <c r="R1198" s="464"/>
      <c r="S1198" s="402">
        <f t="shared" si="339"/>
        <v>0</v>
      </c>
      <c r="T1198" s="404">
        <f t="shared" si="336"/>
        <v>0</v>
      </c>
      <c r="U1198" s="403"/>
      <c r="V1198" s="160" t="str">
        <f>IF(T1196&gt;0,"xx",IF(O1196&gt;0,"xy",""))</f>
        <v/>
      </c>
      <c r="W1198" s="43" t="str">
        <f t="shared" si="273"/>
        <v/>
      </c>
      <c r="X1198" s="43" t="str">
        <f t="shared" si="327"/>
        <v/>
      </c>
      <c r="Y1198" s="43" t="str">
        <f t="shared" si="265"/>
        <v/>
      </c>
    </row>
    <row r="1199" spans="1:25" hidden="1">
      <c r="A1199" s="155" t="s">
        <v>183</v>
      </c>
      <c r="B1199" s="156"/>
      <c r="C1199" s="411" t="s">
        <v>458</v>
      </c>
      <c r="D1199" s="351"/>
      <c r="E1199" s="405">
        <v>20</v>
      </c>
      <c r="F1199" s="406">
        <v>1</v>
      </c>
      <c r="G1199" s="158">
        <f t="shared" si="341"/>
        <v>13.25</v>
      </c>
      <c r="H1199" s="465"/>
      <c r="I1199" s="465"/>
      <c r="J1199" s="407">
        <f t="shared" si="274"/>
        <v>0</v>
      </c>
      <c r="K1199" s="408"/>
      <c r="L1199" s="152">
        <v>0</v>
      </c>
      <c r="M1199" s="213"/>
      <c r="N1199" s="402">
        <f t="shared" si="337"/>
        <v>0</v>
      </c>
      <c r="O1199" s="402">
        <f t="shared" si="338"/>
        <v>0</v>
      </c>
      <c r="P1199" s="403"/>
      <c r="Q1199" s="464"/>
      <c r="R1199" s="464"/>
      <c r="S1199" s="402">
        <f t="shared" si="339"/>
        <v>0</v>
      </c>
      <c r="T1199" s="404">
        <f t="shared" si="336"/>
        <v>0</v>
      </c>
      <c r="U1199" s="403"/>
      <c r="V1199" s="160" t="str">
        <f>IF(T1196&gt;0,"xx",IF(O1196&gt;0,"xy",""))</f>
        <v/>
      </c>
      <c r="W1199" s="43" t="str">
        <f t="shared" si="273"/>
        <v/>
      </c>
      <c r="X1199" s="43" t="str">
        <f t="shared" si="327"/>
        <v/>
      </c>
      <c r="Y1199" s="43" t="str">
        <f t="shared" si="265"/>
        <v/>
      </c>
    </row>
    <row r="1200" spans="1:25" hidden="1">
      <c r="A1200" s="155" t="s">
        <v>1092</v>
      </c>
      <c r="B1200" s="156" t="s">
        <v>242</v>
      </c>
      <c r="C1200" s="411" t="s">
        <v>491</v>
      </c>
      <c r="D1200" s="351"/>
      <c r="E1200" s="405"/>
      <c r="F1200" s="406"/>
      <c r="G1200" s="158">
        <f>SUM(G1201:G1203)</f>
        <v>23.421025</v>
      </c>
      <c r="H1200" s="465">
        <v>463.42</v>
      </c>
      <c r="I1200" s="465">
        <f>IF(ISBLANK(H1200),"",SUM(G1200:H1200))</f>
        <v>486.841025</v>
      </c>
      <c r="J1200" s="407">
        <f t="shared" si="274"/>
        <v>617.30999999999995</v>
      </c>
      <c r="K1200" s="408" t="s">
        <v>20</v>
      </c>
      <c r="L1200" s="152">
        <v>0</v>
      </c>
      <c r="M1200" s="152"/>
      <c r="N1200" s="402">
        <f t="shared" si="337"/>
        <v>0</v>
      </c>
      <c r="O1200" s="402">
        <f t="shared" si="338"/>
        <v>0</v>
      </c>
      <c r="P1200" s="403"/>
      <c r="Q1200" s="152">
        <f t="shared" si="340"/>
        <v>0</v>
      </c>
      <c r="R1200" s="152">
        <f t="shared" si="340"/>
        <v>0</v>
      </c>
      <c r="S1200" s="402">
        <f t="shared" si="339"/>
        <v>0</v>
      </c>
      <c r="T1200" s="404">
        <f t="shared" si="336"/>
        <v>0</v>
      </c>
      <c r="U1200" s="403"/>
      <c r="W1200" s="43" t="str">
        <f t="shared" si="273"/>
        <v/>
      </c>
      <c r="X1200" s="43" t="str">
        <f t="shared" si="327"/>
        <v/>
      </c>
      <c r="Y1200" s="43" t="str">
        <f t="shared" si="265"/>
        <v/>
      </c>
    </row>
    <row r="1201" spans="1:25" hidden="1">
      <c r="A1201" s="155" t="s">
        <v>183</v>
      </c>
      <c r="B1201" s="156"/>
      <c r="C1201" s="411" t="s">
        <v>251</v>
      </c>
      <c r="D1201" s="351"/>
      <c r="E1201" s="405">
        <v>500</v>
      </c>
      <c r="F1201" s="406">
        <v>6.4999999999999997E-3</v>
      </c>
      <c r="G1201" s="158">
        <f>IF(E1201&lt;=30,(0.42*E1201+3.55)*F1201,((0.42*30+3.55)+0.35*(E1201-30))*F1201)</f>
        <v>1.1742250000000001</v>
      </c>
      <c r="H1201" s="465"/>
      <c r="I1201" s="465"/>
      <c r="J1201" s="407">
        <f t="shared" si="274"/>
        <v>0</v>
      </c>
      <c r="K1201" s="408"/>
      <c r="L1201" s="152">
        <v>0</v>
      </c>
      <c r="M1201" s="213"/>
      <c r="N1201" s="402">
        <f t="shared" si="337"/>
        <v>0</v>
      </c>
      <c r="O1201" s="402">
        <f t="shared" si="338"/>
        <v>0</v>
      </c>
      <c r="P1201" s="403"/>
      <c r="Q1201" s="464"/>
      <c r="R1201" s="464"/>
      <c r="S1201" s="402">
        <f t="shared" si="339"/>
        <v>0</v>
      </c>
      <c r="T1201" s="404">
        <f t="shared" si="336"/>
        <v>0</v>
      </c>
      <c r="U1201" s="403"/>
      <c r="V1201" s="160" t="str">
        <f>IF(T1200&gt;0,"xx",IF(O1200&gt;0,"xy",""))</f>
        <v/>
      </c>
      <c r="W1201" s="43" t="str">
        <f t="shared" si="273"/>
        <v/>
      </c>
      <c r="X1201" s="43" t="str">
        <f t="shared" si="327"/>
        <v/>
      </c>
      <c r="Y1201" s="43" t="str">
        <f t="shared" si="265"/>
        <v/>
      </c>
    </row>
    <row r="1202" spans="1:25" hidden="1">
      <c r="A1202" s="155" t="s">
        <v>183</v>
      </c>
      <c r="B1202" s="156"/>
      <c r="C1202" s="411" t="s">
        <v>314</v>
      </c>
      <c r="D1202" s="351"/>
      <c r="E1202" s="405">
        <v>180</v>
      </c>
      <c r="F1202" s="406">
        <v>3.3599999999999998E-2</v>
      </c>
      <c r="G1202" s="158">
        <f t="shared" ref="G1202:G1203" si="342">IF(E1202&lt;=30,(0.6*E1202+1.25)*F1202,((0.6*30+1.25)+0.5*(E1202-30))*F1202)</f>
        <v>3.1667999999999998</v>
      </c>
      <c r="H1202" s="465"/>
      <c r="I1202" s="465"/>
      <c r="J1202" s="407">
        <f t="shared" ref="J1202:J1265" si="343">IF(ISBLANK(H1202),0,ROUND(I1202*(1+$E$10)*(1+$E$11*D1202),2))</f>
        <v>0</v>
      </c>
      <c r="K1202" s="408"/>
      <c r="L1202" s="152">
        <v>0</v>
      </c>
      <c r="M1202" s="213"/>
      <c r="N1202" s="402">
        <f t="shared" si="337"/>
        <v>0</v>
      </c>
      <c r="O1202" s="402">
        <f t="shared" si="338"/>
        <v>0</v>
      </c>
      <c r="P1202" s="403"/>
      <c r="Q1202" s="464"/>
      <c r="R1202" s="464"/>
      <c r="S1202" s="402">
        <f t="shared" si="339"/>
        <v>0</v>
      </c>
      <c r="T1202" s="404">
        <f t="shared" si="336"/>
        <v>0</v>
      </c>
      <c r="U1202" s="403"/>
      <c r="V1202" s="160" t="str">
        <f>IF(T1200&gt;0,"xx",IF(O1200&gt;0,"xy",""))</f>
        <v/>
      </c>
      <c r="W1202" s="43" t="str">
        <f t="shared" si="273"/>
        <v/>
      </c>
      <c r="X1202" s="43" t="str">
        <f t="shared" si="327"/>
        <v/>
      </c>
      <c r="Y1202" s="43" t="str">
        <f t="shared" si="265"/>
        <v/>
      </c>
    </row>
    <row r="1203" spans="1:25" hidden="1">
      <c r="A1203" s="155" t="s">
        <v>183</v>
      </c>
      <c r="B1203" s="156"/>
      <c r="C1203" s="411" t="s">
        <v>458</v>
      </c>
      <c r="D1203" s="351"/>
      <c r="E1203" s="405">
        <v>20</v>
      </c>
      <c r="F1203" s="406">
        <v>1.44</v>
      </c>
      <c r="G1203" s="158">
        <f t="shared" si="342"/>
        <v>19.079999999999998</v>
      </c>
      <c r="H1203" s="465"/>
      <c r="I1203" s="465"/>
      <c r="J1203" s="407">
        <f t="shared" si="343"/>
        <v>0</v>
      </c>
      <c r="K1203" s="408"/>
      <c r="L1203" s="152">
        <v>0</v>
      </c>
      <c r="M1203" s="213"/>
      <c r="N1203" s="402">
        <f t="shared" si="337"/>
        <v>0</v>
      </c>
      <c r="O1203" s="402">
        <f t="shared" si="338"/>
        <v>0</v>
      </c>
      <c r="P1203" s="403"/>
      <c r="Q1203" s="464"/>
      <c r="R1203" s="464"/>
      <c r="S1203" s="402">
        <f t="shared" si="339"/>
        <v>0</v>
      </c>
      <c r="T1203" s="404">
        <f t="shared" si="336"/>
        <v>0</v>
      </c>
      <c r="U1203" s="403"/>
      <c r="V1203" s="160" t="str">
        <f>IF(T1200&gt;0,"xx",IF(O1200&gt;0,"xy",""))</f>
        <v/>
      </c>
      <c r="W1203" s="43" t="str">
        <f t="shared" si="273"/>
        <v/>
      </c>
      <c r="X1203" s="43" t="str">
        <f t="shared" si="327"/>
        <v/>
      </c>
      <c r="Y1203" s="43" t="str">
        <f t="shared" si="265"/>
        <v/>
      </c>
    </row>
    <row r="1204" spans="1:25" hidden="1">
      <c r="A1204" s="155" t="s">
        <v>1093</v>
      </c>
      <c r="B1204" s="156" t="s">
        <v>242</v>
      </c>
      <c r="C1204" s="411" t="s">
        <v>492</v>
      </c>
      <c r="D1204" s="351"/>
      <c r="E1204" s="405"/>
      <c r="F1204" s="406"/>
      <c r="G1204" s="158">
        <f>SUM(G1205:G1207)</f>
        <v>27.284264999999998</v>
      </c>
      <c r="H1204" s="465">
        <v>697.71</v>
      </c>
      <c r="I1204" s="465">
        <f>IF(ISBLANK(H1204),"",SUM(G1204:H1204))</f>
        <v>724.99426500000004</v>
      </c>
      <c r="J1204" s="407">
        <f t="shared" si="343"/>
        <v>919.29</v>
      </c>
      <c r="K1204" s="408" t="s">
        <v>20</v>
      </c>
      <c r="L1204" s="152">
        <v>0</v>
      </c>
      <c r="M1204" s="152"/>
      <c r="N1204" s="402">
        <f t="shared" si="337"/>
        <v>0</v>
      </c>
      <c r="O1204" s="402">
        <f t="shared" si="338"/>
        <v>0</v>
      </c>
      <c r="P1204" s="403"/>
      <c r="Q1204" s="152">
        <f t="shared" si="340"/>
        <v>0</v>
      </c>
      <c r="R1204" s="152">
        <f t="shared" si="340"/>
        <v>0</v>
      </c>
      <c r="S1204" s="402">
        <f t="shared" si="339"/>
        <v>0</v>
      </c>
      <c r="T1204" s="404">
        <f t="shared" si="336"/>
        <v>0</v>
      </c>
      <c r="U1204" s="403"/>
      <c r="W1204" s="43" t="str">
        <f t="shared" si="273"/>
        <v/>
      </c>
      <c r="X1204" s="43" t="str">
        <f t="shared" si="327"/>
        <v/>
      </c>
      <c r="Y1204" s="43" t="str">
        <f t="shared" ref="Y1204:Y1267" si="344">IF(V1204="X","x",IF(T1204&gt;0,"x",""))</f>
        <v/>
      </c>
    </row>
    <row r="1205" spans="1:25" hidden="1">
      <c r="A1205" s="155" t="s">
        <v>183</v>
      </c>
      <c r="B1205" s="156"/>
      <c r="C1205" s="411" t="s">
        <v>251</v>
      </c>
      <c r="D1205" s="351"/>
      <c r="E1205" s="405">
        <v>500</v>
      </c>
      <c r="F1205" s="406">
        <v>8.0999999999999996E-3</v>
      </c>
      <c r="G1205" s="158">
        <f>IF(E1205&lt;=30,(0.42*E1205+3.55)*F1205,((0.42*30+3.55)+0.35*(E1205-30))*F1205)</f>
        <v>1.463265</v>
      </c>
      <c r="H1205" s="465"/>
      <c r="I1205" s="465"/>
      <c r="J1205" s="407">
        <f t="shared" si="343"/>
        <v>0</v>
      </c>
      <c r="K1205" s="408"/>
      <c r="L1205" s="152">
        <v>0</v>
      </c>
      <c r="M1205" s="213"/>
      <c r="N1205" s="402">
        <f t="shared" si="337"/>
        <v>0</v>
      </c>
      <c r="O1205" s="402">
        <f t="shared" si="338"/>
        <v>0</v>
      </c>
      <c r="P1205" s="403"/>
      <c r="Q1205" s="464"/>
      <c r="R1205" s="464"/>
      <c r="S1205" s="402">
        <f t="shared" si="339"/>
        <v>0</v>
      </c>
      <c r="T1205" s="404">
        <f t="shared" si="336"/>
        <v>0</v>
      </c>
      <c r="U1205" s="403"/>
      <c r="V1205" s="160" t="str">
        <f>IF(T1204&gt;0,"xx",IF(O1204&gt;0,"xy",""))</f>
        <v/>
      </c>
      <c r="W1205" s="43" t="str">
        <f t="shared" si="273"/>
        <v/>
      </c>
      <c r="X1205" s="43" t="str">
        <f t="shared" si="327"/>
        <v/>
      </c>
      <c r="Y1205" s="43" t="str">
        <f t="shared" si="344"/>
        <v/>
      </c>
    </row>
    <row r="1206" spans="1:25" hidden="1">
      <c r="A1206" s="155" t="s">
        <v>183</v>
      </c>
      <c r="B1206" s="156"/>
      <c r="C1206" s="411" t="s">
        <v>314</v>
      </c>
      <c r="D1206" s="351"/>
      <c r="E1206" s="405">
        <v>180</v>
      </c>
      <c r="F1206" s="406">
        <v>4.2000000000000003E-2</v>
      </c>
      <c r="G1206" s="158">
        <f t="shared" ref="G1206:G1207" si="345">IF(E1206&lt;=30,(0.6*E1206+1.25)*F1206,((0.6*30+1.25)+0.5*(E1206-30))*F1206)</f>
        <v>3.9585000000000004</v>
      </c>
      <c r="H1206" s="465"/>
      <c r="I1206" s="465"/>
      <c r="J1206" s="407">
        <f t="shared" si="343"/>
        <v>0</v>
      </c>
      <c r="K1206" s="408"/>
      <c r="L1206" s="152">
        <v>0</v>
      </c>
      <c r="M1206" s="213"/>
      <c r="N1206" s="402">
        <f t="shared" si="337"/>
        <v>0</v>
      </c>
      <c r="O1206" s="402">
        <f t="shared" si="338"/>
        <v>0</v>
      </c>
      <c r="P1206" s="403"/>
      <c r="Q1206" s="464"/>
      <c r="R1206" s="464"/>
      <c r="S1206" s="402">
        <f t="shared" si="339"/>
        <v>0</v>
      </c>
      <c r="T1206" s="404">
        <f t="shared" si="336"/>
        <v>0</v>
      </c>
      <c r="U1206" s="403"/>
      <c r="V1206" s="160" t="str">
        <f>IF(T1204&gt;0,"xx",IF(O1204&gt;0,"xy",""))</f>
        <v/>
      </c>
      <c r="W1206" s="43" t="str">
        <f t="shared" si="273"/>
        <v/>
      </c>
      <c r="X1206" s="43" t="str">
        <f t="shared" si="327"/>
        <v/>
      </c>
      <c r="Y1206" s="43" t="str">
        <f t="shared" si="344"/>
        <v/>
      </c>
    </row>
    <row r="1207" spans="1:25" hidden="1">
      <c r="A1207" s="155" t="s">
        <v>183</v>
      </c>
      <c r="B1207" s="156"/>
      <c r="C1207" s="411" t="s">
        <v>458</v>
      </c>
      <c r="D1207" s="351"/>
      <c r="E1207" s="405">
        <v>20</v>
      </c>
      <c r="F1207" s="406">
        <v>1.65</v>
      </c>
      <c r="G1207" s="158">
        <f t="shared" si="345"/>
        <v>21.862499999999997</v>
      </c>
      <c r="H1207" s="465"/>
      <c r="I1207" s="465"/>
      <c r="J1207" s="407">
        <f t="shared" si="343"/>
        <v>0</v>
      </c>
      <c r="K1207" s="408"/>
      <c r="L1207" s="152">
        <v>0</v>
      </c>
      <c r="M1207" s="213"/>
      <c r="N1207" s="402">
        <f t="shared" si="337"/>
        <v>0</v>
      </c>
      <c r="O1207" s="402">
        <f t="shared" si="338"/>
        <v>0</v>
      </c>
      <c r="P1207" s="403"/>
      <c r="Q1207" s="464"/>
      <c r="R1207" s="464"/>
      <c r="S1207" s="402">
        <f t="shared" si="339"/>
        <v>0</v>
      </c>
      <c r="T1207" s="404">
        <f t="shared" si="336"/>
        <v>0</v>
      </c>
      <c r="U1207" s="403"/>
      <c r="V1207" s="160" t="str">
        <f>IF(T1204&gt;0,"xx",IF(O1204&gt;0,"xy",""))</f>
        <v/>
      </c>
      <c r="W1207" s="43" t="str">
        <f t="shared" si="273"/>
        <v/>
      </c>
      <c r="X1207" s="43" t="str">
        <f t="shared" si="327"/>
        <v/>
      </c>
      <c r="Y1207" s="43" t="str">
        <f t="shared" si="344"/>
        <v/>
      </c>
    </row>
    <row r="1208" spans="1:25" hidden="1">
      <c r="A1208" s="155" t="s">
        <v>1093</v>
      </c>
      <c r="B1208" s="156" t="s">
        <v>242</v>
      </c>
      <c r="C1208" s="411" t="s">
        <v>493</v>
      </c>
      <c r="D1208" s="351"/>
      <c r="E1208" s="405"/>
      <c r="F1208" s="406"/>
      <c r="G1208" s="158">
        <f>SUM(G1209:G1211)</f>
        <v>32.924329999999998</v>
      </c>
      <c r="H1208" s="465">
        <v>1080.9516000000001</v>
      </c>
      <c r="I1208" s="465">
        <f>IF(ISBLANK(H1208),"",SUM(G1208:H1208))</f>
        <v>1113.8759300000002</v>
      </c>
      <c r="J1208" s="407">
        <f t="shared" si="343"/>
        <v>1412.39</v>
      </c>
      <c r="K1208" s="408" t="s">
        <v>20</v>
      </c>
      <c r="L1208" s="152">
        <v>0</v>
      </c>
      <c r="M1208" s="152"/>
      <c r="N1208" s="402">
        <f t="shared" si="337"/>
        <v>0</v>
      </c>
      <c r="O1208" s="402">
        <f t="shared" si="338"/>
        <v>0</v>
      </c>
      <c r="P1208" s="403"/>
      <c r="Q1208" s="152">
        <f t="shared" si="340"/>
        <v>0</v>
      </c>
      <c r="R1208" s="152">
        <f t="shared" si="340"/>
        <v>0</v>
      </c>
      <c r="S1208" s="402">
        <f t="shared" si="339"/>
        <v>0</v>
      </c>
      <c r="T1208" s="404">
        <f t="shared" si="336"/>
        <v>0</v>
      </c>
      <c r="U1208" s="403"/>
      <c r="W1208" s="43" t="str">
        <f t="shared" si="273"/>
        <v/>
      </c>
      <c r="X1208" s="43" t="str">
        <f t="shared" si="327"/>
        <v/>
      </c>
      <c r="Y1208" s="43" t="str">
        <f t="shared" si="344"/>
        <v/>
      </c>
    </row>
    <row r="1209" spans="1:25" hidden="1">
      <c r="A1209" s="155" t="s">
        <v>183</v>
      </c>
      <c r="B1209" s="156"/>
      <c r="C1209" s="411" t="s">
        <v>251</v>
      </c>
      <c r="D1209" s="351"/>
      <c r="E1209" s="405">
        <v>500</v>
      </c>
      <c r="F1209" s="406">
        <v>9.1999999999999998E-3</v>
      </c>
      <c r="G1209" s="158">
        <f>IF(E1209&lt;=30,(0.42*E1209+3.55)*F1209,((0.42*30+3.55)+0.35*(E1209-30))*F1209)</f>
        <v>1.66198</v>
      </c>
      <c r="H1209" s="465"/>
      <c r="I1209" s="465"/>
      <c r="J1209" s="407">
        <f t="shared" si="343"/>
        <v>0</v>
      </c>
      <c r="K1209" s="408"/>
      <c r="L1209" s="152">
        <v>0</v>
      </c>
      <c r="M1209" s="213"/>
      <c r="N1209" s="402">
        <f t="shared" si="337"/>
        <v>0</v>
      </c>
      <c r="O1209" s="402">
        <f t="shared" si="338"/>
        <v>0</v>
      </c>
      <c r="P1209" s="403"/>
      <c r="Q1209" s="464"/>
      <c r="R1209" s="464"/>
      <c r="S1209" s="402">
        <f t="shared" si="339"/>
        <v>0</v>
      </c>
      <c r="T1209" s="404">
        <f t="shared" si="336"/>
        <v>0</v>
      </c>
      <c r="U1209" s="403"/>
      <c r="V1209" s="160" t="str">
        <f>IF(T1208&gt;0,"xx",IF(O1208&gt;0,"xy",""))</f>
        <v/>
      </c>
      <c r="W1209" s="43" t="str">
        <f t="shared" si="273"/>
        <v/>
      </c>
      <c r="X1209" s="43" t="str">
        <f t="shared" si="327"/>
        <v/>
      </c>
      <c r="Y1209" s="43" t="str">
        <f t="shared" si="344"/>
        <v/>
      </c>
    </row>
    <row r="1210" spans="1:25" hidden="1">
      <c r="A1210" s="155" t="s">
        <v>183</v>
      </c>
      <c r="B1210" s="156"/>
      <c r="C1210" s="411" t="s">
        <v>314</v>
      </c>
      <c r="D1210" s="351"/>
      <c r="E1210" s="405">
        <v>180</v>
      </c>
      <c r="F1210" s="406">
        <v>4.7899999999999998E-2</v>
      </c>
      <c r="G1210" s="158">
        <f t="shared" ref="G1210:G1211" si="346">IF(E1210&lt;=30,(0.6*E1210+1.25)*F1210,((0.6*30+1.25)+0.5*(E1210-30))*F1210)</f>
        <v>4.5145749999999998</v>
      </c>
      <c r="H1210" s="465"/>
      <c r="I1210" s="465"/>
      <c r="J1210" s="407">
        <f t="shared" si="343"/>
        <v>0</v>
      </c>
      <c r="K1210" s="408"/>
      <c r="L1210" s="152">
        <v>0</v>
      </c>
      <c r="M1210" s="213"/>
      <c r="N1210" s="402">
        <f t="shared" si="337"/>
        <v>0</v>
      </c>
      <c r="O1210" s="402">
        <f t="shared" si="338"/>
        <v>0</v>
      </c>
      <c r="P1210" s="403"/>
      <c r="Q1210" s="464"/>
      <c r="R1210" s="464"/>
      <c r="S1210" s="402">
        <f t="shared" si="339"/>
        <v>0</v>
      </c>
      <c r="T1210" s="404">
        <f t="shared" si="336"/>
        <v>0</v>
      </c>
      <c r="U1210" s="403"/>
      <c r="V1210" s="160" t="str">
        <f>IF(T1208&gt;0,"xx",IF(O1208&gt;0,"xy",""))</f>
        <v/>
      </c>
      <c r="W1210" s="43" t="str">
        <f t="shared" si="273"/>
        <v/>
      </c>
      <c r="X1210" s="43" t="str">
        <f t="shared" si="327"/>
        <v/>
      </c>
      <c r="Y1210" s="43" t="str">
        <f t="shared" si="344"/>
        <v/>
      </c>
    </row>
    <row r="1211" spans="1:25" hidden="1">
      <c r="A1211" s="155" t="s">
        <v>183</v>
      </c>
      <c r="B1211" s="156"/>
      <c r="C1211" s="411" t="s">
        <v>458</v>
      </c>
      <c r="D1211" s="351"/>
      <c r="E1211" s="405">
        <v>20</v>
      </c>
      <c r="F1211" s="406">
        <v>2.0186999999999999</v>
      </c>
      <c r="G1211" s="158">
        <f t="shared" si="346"/>
        <v>26.747775000000001</v>
      </c>
      <c r="H1211" s="465"/>
      <c r="I1211" s="465"/>
      <c r="J1211" s="407">
        <f t="shared" si="343"/>
        <v>0</v>
      </c>
      <c r="K1211" s="408"/>
      <c r="L1211" s="152">
        <v>0</v>
      </c>
      <c r="M1211" s="213"/>
      <c r="N1211" s="402">
        <f t="shared" si="337"/>
        <v>0</v>
      </c>
      <c r="O1211" s="402">
        <f t="shared" si="338"/>
        <v>0</v>
      </c>
      <c r="P1211" s="403"/>
      <c r="Q1211" s="464"/>
      <c r="R1211" s="464"/>
      <c r="S1211" s="402">
        <f t="shared" si="339"/>
        <v>0</v>
      </c>
      <c r="T1211" s="404">
        <f t="shared" si="336"/>
        <v>0</v>
      </c>
      <c r="U1211" s="403"/>
      <c r="V1211" s="160" t="str">
        <f>IF(T1208&gt;0,"xx",IF(O1208&gt;0,"xy",""))</f>
        <v/>
      </c>
      <c r="W1211" s="43" t="str">
        <f t="shared" si="273"/>
        <v/>
      </c>
      <c r="X1211" s="43" t="str">
        <f t="shared" si="327"/>
        <v/>
      </c>
      <c r="Y1211" s="43" t="str">
        <f t="shared" si="344"/>
        <v/>
      </c>
    </row>
    <row r="1212" spans="1:25" hidden="1">
      <c r="A1212" s="155" t="s">
        <v>1094</v>
      </c>
      <c r="B1212" s="156" t="s">
        <v>242</v>
      </c>
      <c r="C1212" s="411" t="s">
        <v>494</v>
      </c>
      <c r="D1212" s="351"/>
      <c r="E1212" s="405"/>
      <c r="F1212" s="406"/>
      <c r="G1212" s="158">
        <f>SUM(G1213:G1215)</f>
        <v>34.990004999999996</v>
      </c>
      <c r="H1212" s="465">
        <v>1895.3400000000001</v>
      </c>
      <c r="I1212" s="465">
        <f>IF(ISBLANK(H1212),"",SUM(G1212:H1212))</f>
        <v>1930.3300050000003</v>
      </c>
      <c r="J1212" s="407">
        <f t="shared" si="343"/>
        <v>2447.66</v>
      </c>
      <c r="K1212" s="408" t="s">
        <v>20</v>
      </c>
      <c r="L1212" s="152">
        <v>0</v>
      </c>
      <c r="M1212" s="152"/>
      <c r="N1212" s="402">
        <f t="shared" si="337"/>
        <v>0</v>
      </c>
      <c r="O1212" s="402">
        <f t="shared" si="338"/>
        <v>0</v>
      </c>
      <c r="P1212" s="403"/>
      <c r="Q1212" s="152">
        <f t="shared" ref="Q1212:R1295" si="347">L1212</f>
        <v>0</v>
      </c>
      <c r="R1212" s="152">
        <f t="shared" si="347"/>
        <v>0</v>
      </c>
      <c r="S1212" s="402">
        <f t="shared" si="339"/>
        <v>0</v>
      </c>
      <c r="T1212" s="404">
        <f t="shared" si="336"/>
        <v>0</v>
      </c>
      <c r="U1212" s="403"/>
      <c r="W1212" s="43" t="str">
        <f t="shared" si="273"/>
        <v/>
      </c>
      <c r="X1212" s="43" t="str">
        <f t="shared" si="327"/>
        <v/>
      </c>
      <c r="Y1212" s="43" t="str">
        <f t="shared" si="344"/>
        <v/>
      </c>
    </row>
    <row r="1213" spans="1:25" hidden="1">
      <c r="A1213" s="155" t="s">
        <v>183</v>
      </c>
      <c r="B1213" s="156"/>
      <c r="C1213" s="411" t="s">
        <v>251</v>
      </c>
      <c r="D1213" s="351"/>
      <c r="E1213" s="405">
        <v>500</v>
      </c>
      <c r="F1213" s="406">
        <v>9.7000000000000003E-3</v>
      </c>
      <c r="G1213" s="158">
        <f>IF(E1213&lt;=30,(0.42*E1213+3.55)*F1213,((0.42*30+3.55)+0.35*(E1213-30))*F1213)</f>
        <v>1.752305</v>
      </c>
      <c r="H1213" s="465"/>
      <c r="I1213" s="465"/>
      <c r="J1213" s="407">
        <f t="shared" si="343"/>
        <v>0</v>
      </c>
      <c r="K1213" s="408"/>
      <c r="L1213" s="152">
        <v>0</v>
      </c>
      <c r="M1213" s="213"/>
      <c r="N1213" s="402">
        <f t="shared" si="337"/>
        <v>0</v>
      </c>
      <c r="O1213" s="402">
        <f t="shared" si="338"/>
        <v>0</v>
      </c>
      <c r="P1213" s="403"/>
      <c r="Q1213" s="464"/>
      <c r="R1213" s="464"/>
      <c r="S1213" s="402">
        <f t="shared" si="339"/>
        <v>0</v>
      </c>
      <c r="T1213" s="404">
        <f t="shared" si="336"/>
        <v>0</v>
      </c>
      <c r="U1213" s="403"/>
      <c r="V1213" s="160" t="str">
        <f>IF(T1212&gt;0,"xx",IF(O1212&gt;0,"xy",""))</f>
        <v/>
      </c>
      <c r="W1213" s="43" t="str">
        <f t="shared" si="273"/>
        <v/>
      </c>
      <c r="X1213" s="43" t="str">
        <f t="shared" si="327"/>
        <v/>
      </c>
      <c r="Y1213" s="43" t="str">
        <f t="shared" si="344"/>
        <v/>
      </c>
    </row>
    <row r="1214" spans="1:25" hidden="1">
      <c r="A1214" s="155" t="s">
        <v>183</v>
      </c>
      <c r="B1214" s="156"/>
      <c r="C1214" s="411" t="s">
        <v>314</v>
      </c>
      <c r="D1214" s="351"/>
      <c r="E1214" s="405">
        <v>180</v>
      </c>
      <c r="F1214" s="406">
        <v>5.04E-2</v>
      </c>
      <c r="G1214" s="158">
        <f t="shared" ref="G1214:G1215" si="348">IF(E1214&lt;=30,(0.6*E1214+1.25)*F1214,((0.6*30+1.25)+0.5*(E1214-30))*F1214)</f>
        <v>4.7502000000000004</v>
      </c>
      <c r="H1214" s="465"/>
      <c r="I1214" s="465"/>
      <c r="J1214" s="407">
        <f t="shared" si="343"/>
        <v>0</v>
      </c>
      <c r="K1214" s="408"/>
      <c r="L1214" s="152">
        <v>0</v>
      </c>
      <c r="M1214" s="213"/>
      <c r="N1214" s="402">
        <f t="shared" si="337"/>
        <v>0</v>
      </c>
      <c r="O1214" s="402">
        <f t="shared" si="338"/>
        <v>0</v>
      </c>
      <c r="P1214" s="403"/>
      <c r="Q1214" s="464"/>
      <c r="R1214" s="464"/>
      <c r="S1214" s="402">
        <f t="shared" si="339"/>
        <v>0</v>
      </c>
      <c r="T1214" s="404">
        <f t="shared" si="336"/>
        <v>0</v>
      </c>
      <c r="U1214" s="403"/>
      <c r="V1214" s="160" t="str">
        <f>IF(T1212&gt;0,"xx",IF(O1212&gt;0,"xy",""))</f>
        <v/>
      </c>
      <c r="W1214" s="43" t="str">
        <f t="shared" si="273"/>
        <v/>
      </c>
      <c r="X1214" s="43" t="str">
        <f t="shared" si="327"/>
        <v/>
      </c>
      <c r="Y1214" s="43" t="str">
        <f t="shared" si="344"/>
        <v/>
      </c>
    </row>
    <row r="1215" spans="1:25" hidden="1">
      <c r="A1215" s="155" t="s">
        <v>183</v>
      </c>
      <c r="B1215" s="156"/>
      <c r="C1215" s="411" t="s">
        <v>458</v>
      </c>
      <c r="D1215" s="351"/>
      <c r="E1215" s="405">
        <v>20</v>
      </c>
      <c r="F1215" s="406">
        <v>2.15</v>
      </c>
      <c r="G1215" s="158">
        <f t="shared" si="348"/>
        <v>28.487499999999997</v>
      </c>
      <c r="H1215" s="465"/>
      <c r="I1215" s="465"/>
      <c r="J1215" s="407">
        <f t="shared" si="343"/>
        <v>0</v>
      </c>
      <c r="K1215" s="408"/>
      <c r="L1215" s="152">
        <v>0</v>
      </c>
      <c r="M1215" s="213"/>
      <c r="N1215" s="402">
        <f t="shared" si="337"/>
        <v>0</v>
      </c>
      <c r="O1215" s="402">
        <f t="shared" si="338"/>
        <v>0</v>
      </c>
      <c r="P1215" s="403"/>
      <c r="Q1215" s="464"/>
      <c r="R1215" s="464"/>
      <c r="S1215" s="402">
        <f t="shared" si="339"/>
        <v>0</v>
      </c>
      <c r="T1215" s="404">
        <f t="shared" si="336"/>
        <v>0</v>
      </c>
      <c r="U1215" s="403"/>
      <c r="V1215" s="160" t="str">
        <f>IF(T1212&gt;0,"xx",IF(O1212&gt;0,"xy",""))</f>
        <v/>
      </c>
      <c r="W1215" s="43" t="str">
        <f t="shared" si="273"/>
        <v/>
      </c>
      <c r="X1215" s="43" t="str">
        <f t="shared" si="327"/>
        <v/>
      </c>
      <c r="Y1215" s="43" t="str">
        <f t="shared" si="344"/>
        <v/>
      </c>
    </row>
    <row r="1216" spans="1:25" hidden="1">
      <c r="A1216" s="155">
        <v>610400</v>
      </c>
      <c r="B1216" s="156" t="s">
        <v>242</v>
      </c>
      <c r="C1216" s="411" t="s">
        <v>495</v>
      </c>
      <c r="D1216" s="351"/>
      <c r="E1216" s="405"/>
      <c r="F1216" s="406"/>
      <c r="G1216" s="158">
        <f>SUM(G1217:G1219)</f>
        <v>2.7432350000000003</v>
      </c>
      <c r="H1216" s="465">
        <v>113.71</v>
      </c>
      <c r="I1216" s="465">
        <f>IF(ISBLANK(H1216),"",SUM(G1216:H1216))*0.9</f>
        <v>104.80791149999999</v>
      </c>
      <c r="J1216" s="407">
        <f t="shared" si="343"/>
        <v>132.9</v>
      </c>
      <c r="K1216" s="408" t="s">
        <v>20</v>
      </c>
      <c r="L1216" s="152">
        <v>0</v>
      </c>
      <c r="M1216" s="152"/>
      <c r="N1216" s="402">
        <f t="shared" si="337"/>
        <v>0</v>
      </c>
      <c r="O1216" s="402">
        <f t="shared" si="338"/>
        <v>0</v>
      </c>
      <c r="P1216" s="403"/>
      <c r="Q1216" s="152">
        <f t="shared" si="347"/>
        <v>0</v>
      </c>
      <c r="R1216" s="152">
        <f t="shared" si="347"/>
        <v>0</v>
      </c>
      <c r="S1216" s="402">
        <f t="shared" si="339"/>
        <v>0</v>
      </c>
      <c r="T1216" s="404">
        <f t="shared" si="336"/>
        <v>0</v>
      </c>
      <c r="U1216" s="403"/>
      <c r="W1216" s="43" t="str">
        <f t="shared" si="273"/>
        <v/>
      </c>
      <c r="X1216" s="43" t="str">
        <f t="shared" si="327"/>
        <v/>
      </c>
      <c r="Y1216" s="43" t="str">
        <f t="shared" si="344"/>
        <v/>
      </c>
    </row>
    <row r="1217" spans="1:25" hidden="1">
      <c r="A1217" s="155" t="s">
        <v>183</v>
      </c>
      <c r="B1217" s="156"/>
      <c r="C1217" s="411" t="s">
        <v>251</v>
      </c>
      <c r="D1217" s="351"/>
      <c r="E1217" s="405">
        <v>500</v>
      </c>
      <c r="F1217" s="406">
        <v>1.9E-3</v>
      </c>
      <c r="G1217" s="158">
        <f>IF(E1217&lt;=30,(0.42*E1217+3.55)*F1217,((0.42*30+3.55)+0.35*(E1217-30))*F1217)</f>
        <v>0.34323500000000001</v>
      </c>
      <c r="H1217" s="465"/>
      <c r="I1217" s="465"/>
      <c r="J1217" s="407">
        <f t="shared" si="343"/>
        <v>0</v>
      </c>
      <c r="K1217" s="408"/>
      <c r="L1217" s="152">
        <v>0</v>
      </c>
      <c r="M1217" s="213"/>
      <c r="N1217" s="402">
        <f t="shared" si="337"/>
        <v>0</v>
      </c>
      <c r="O1217" s="402">
        <f t="shared" si="338"/>
        <v>0</v>
      </c>
      <c r="P1217" s="403"/>
      <c r="Q1217" s="464"/>
      <c r="R1217" s="464"/>
      <c r="S1217" s="402">
        <f t="shared" si="339"/>
        <v>0</v>
      </c>
      <c r="T1217" s="404">
        <f t="shared" si="336"/>
        <v>0</v>
      </c>
      <c r="U1217" s="403"/>
      <c r="V1217" s="160" t="str">
        <f>IF(T1216&gt;0,"xx",IF(O1216&gt;0,"xy",""))</f>
        <v/>
      </c>
      <c r="W1217" s="43" t="str">
        <f t="shared" si="273"/>
        <v/>
      </c>
      <c r="X1217" s="43" t="str">
        <f t="shared" si="327"/>
        <v/>
      </c>
      <c r="Y1217" s="43" t="str">
        <f t="shared" si="344"/>
        <v/>
      </c>
    </row>
    <row r="1218" spans="1:25" hidden="1">
      <c r="A1218" s="155" t="s">
        <v>183</v>
      </c>
      <c r="B1218" s="156"/>
      <c r="C1218" s="411" t="s">
        <v>314</v>
      </c>
      <c r="D1218" s="351"/>
      <c r="E1218" s="405">
        <v>180</v>
      </c>
      <c r="F1218" s="406">
        <v>0.01</v>
      </c>
      <c r="G1218" s="158">
        <f t="shared" ref="G1218:G1219" si="349">IF(E1218&lt;=30,(0.6*E1218+1.25)*F1218,((0.6*30+1.25)+0.5*(E1218-30))*F1218)</f>
        <v>0.9425</v>
      </c>
      <c r="H1218" s="465"/>
      <c r="I1218" s="465"/>
      <c r="J1218" s="407">
        <f t="shared" si="343"/>
        <v>0</v>
      </c>
      <c r="K1218" s="408"/>
      <c r="L1218" s="152">
        <v>0</v>
      </c>
      <c r="M1218" s="213"/>
      <c r="N1218" s="402">
        <f t="shared" si="337"/>
        <v>0</v>
      </c>
      <c r="O1218" s="402">
        <f t="shared" si="338"/>
        <v>0</v>
      </c>
      <c r="P1218" s="403"/>
      <c r="Q1218" s="464"/>
      <c r="R1218" s="464"/>
      <c r="S1218" s="402">
        <f t="shared" si="339"/>
        <v>0</v>
      </c>
      <c r="T1218" s="404">
        <f t="shared" si="336"/>
        <v>0</v>
      </c>
      <c r="U1218" s="403"/>
      <c r="V1218" s="160" t="str">
        <f>IF(T1216&gt;0,"xx",IF(O1216&gt;0,"xy",""))</f>
        <v/>
      </c>
      <c r="W1218" s="43" t="str">
        <f t="shared" si="273"/>
        <v/>
      </c>
      <c r="X1218" s="43" t="str">
        <f t="shared" si="327"/>
        <v/>
      </c>
      <c r="Y1218" s="43" t="str">
        <f t="shared" si="344"/>
        <v/>
      </c>
    </row>
    <row r="1219" spans="1:25" hidden="1">
      <c r="A1219" s="155" t="s">
        <v>183</v>
      </c>
      <c r="B1219" s="156"/>
      <c r="C1219" s="411" t="s">
        <v>458</v>
      </c>
      <c r="D1219" s="351"/>
      <c r="E1219" s="405">
        <v>20</v>
      </c>
      <c r="F1219" s="406">
        <v>0.11</v>
      </c>
      <c r="G1219" s="158">
        <f t="shared" si="349"/>
        <v>1.4575</v>
      </c>
      <c r="H1219" s="465"/>
      <c r="I1219" s="465"/>
      <c r="J1219" s="407">
        <f t="shared" si="343"/>
        <v>0</v>
      </c>
      <c r="K1219" s="408"/>
      <c r="L1219" s="152">
        <v>0</v>
      </c>
      <c r="M1219" s="213"/>
      <c r="N1219" s="402">
        <f t="shared" si="337"/>
        <v>0</v>
      </c>
      <c r="O1219" s="402">
        <f t="shared" si="338"/>
        <v>0</v>
      </c>
      <c r="P1219" s="403"/>
      <c r="Q1219" s="464"/>
      <c r="R1219" s="464"/>
      <c r="S1219" s="402">
        <f t="shared" si="339"/>
        <v>0</v>
      </c>
      <c r="T1219" s="404">
        <f t="shared" si="336"/>
        <v>0</v>
      </c>
      <c r="U1219" s="403"/>
      <c r="V1219" s="160" t="str">
        <f>IF(T1216&gt;0,"xx",IF(O1216&gt;0,"xy",""))</f>
        <v/>
      </c>
      <c r="W1219" s="43" t="str">
        <f t="shared" si="273"/>
        <v/>
      </c>
      <c r="X1219" s="43" t="str">
        <f t="shared" si="327"/>
        <v/>
      </c>
      <c r="Y1219" s="43" t="str">
        <f t="shared" si="344"/>
        <v/>
      </c>
    </row>
    <row r="1220" spans="1:25" hidden="1">
      <c r="A1220" s="155" t="s">
        <v>981</v>
      </c>
      <c r="B1220" s="156" t="s">
        <v>242</v>
      </c>
      <c r="C1220" s="411" t="s">
        <v>982</v>
      </c>
      <c r="D1220" s="351"/>
      <c r="E1220" s="405"/>
      <c r="F1220" s="406"/>
      <c r="G1220" s="158">
        <f>SUM(G1221:G1223)</f>
        <v>4.8307199999999995</v>
      </c>
      <c r="H1220" s="465">
        <v>139.98499999999999</v>
      </c>
      <c r="I1220" s="465">
        <f>IF(ISBLANK(H1220),"",SUM(G1220:H1220))*0.9</f>
        <v>130.334148</v>
      </c>
      <c r="J1220" s="407">
        <f t="shared" si="343"/>
        <v>165.26</v>
      </c>
      <c r="K1220" s="408" t="s">
        <v>20</v>
      </c>
      <c r="L1220" s="152">
        <v>0</v>
      </c>
      <c r="M1220" s="152"/>
      <c r="N1220" s="402">
        <f t="shared" si="337"/>
        <v>0</v>
      </c>
      <c r="O1220" s="402">
        <f t="shared" si="338"/>
        <v>0</v>
      </c>
      <c r="P1220" s="403"/>
      <c r="Q1220" s="152">
        <f t="shared" si="347"/>
        <v>0</v>
      </c>
      <c r="R1220" s="152">
        <f t="shared" si="347"/>
        <v>0</v>
      </c>
      <c r="S1220" s="402">
        <f t="shared" si="339"/>
        <v>0</v>
      </c>
      <c r="T1220" s="404">
        <f t="shared" si="336"/>
        <v>0</v>
      </c>
      <c r="U1220" s="403"/>
      <c r="W1220" s="43" t="str">
        <f t="shared" si="273"/>
        <v/>
      </c>
      <c r="X1220" s="43" t="str">
        <f t="shared" si="327"/>
        <v/>
      </c>
      <c r="Y1220" s="43" t="str">
        <f t="shared" si="344"/>
        <v/>
      </c>
    </row>
    <row r="1221" spans="1:25" hidden="1">
      <c r="A1221" s="155" t="s">
        <v>183</v>
      </c>
      <c r="B1221" s="156"/>
      <c r="C1221" s="411" t="s">
        <v>251</v>
      </c>
      <c r="D1221" s="351"/>
      <c r="E1221" s="405">
        <v>500</v>
      </c>
      <c r="F1221" s="406">
        <v>2.3E-3</v>
      </c>
      <c r="G1221" s="158">
        <f>IF(E1221&lt;=30,(0.42*E1221+3.55)*F1221,((0.42*30+3.55)+0.35*(E1221-30))*F1221)</f>
        <v>0.415495</v>
      </c>
      <c r="H1221" s="465"/>
      <c r="I1221" s="465"/>
      <c r="J1221" s="407">
        <f t="shared" si="343"/>
        <v>0</v>
      </c>
      <c r="K1221" s="408"/>
      <c r="L1221" s="152">
        <v>0</v>
      </c>
      <c r="M1221" s="213"/>
      <c r="N1221" s="402">
        <f t="shared" si="337"/>
        <v>0</v>
      </c>
      <c r="O1221" s="402">
        <f t="shared" si="338"/>
        <v>0</v>
      </c>
      <c r="P1221" s="403"/>
      <c r="Q1221" s="464"/>
      <c r="R1221" s="464"/>
      <c r="S1221" s="402">
        <f t="shared" si="339"/>
        <v>0</v>
      </c>
      <c r="T1221" s="404">
        <f t="shared" si="336"/>
        <v>0</v>
      </c>
      <c r="U1221" s="403"/>
      <c r="V1221" s="160" t="str">
        <f>IF(T1220&gt;0,"xx",IF(O1220&gt;0,"xy",""))</f>
        <v/>
      </c>
      <c r="W1221" s="43" t="str">
        <f t="shared" si="273"/>
        <v/>
      </c>
      <c r="X1221" s="43" t="str">
        <f t="shared" si="327"/>
        <v/>
      </c>
      <c r="Y1221" s="43" t="str">
        <f t="shared" si="344"/>
        <v/>
      </c>
    </row>
    <row r="1222" spans="1:25" hidden="1">
      <c r="A1222" s="155" t="s">
        <v>183</v>
      </c>
      <c r="B1222" s="156"/>
      <c r="C1222" s="411" t="s">
        <v>314</v>
      </c>
      <c r="D1222" s="351"/>
      <c r="E1222" s="405">
        <v>180</v>
      </c>
      <c r="F1222" s="406">
        <v>1.17E-2</v>
      </c>
      <c r="G1222" s="158">
        <f t="shared" ref="G1222:G1223" si="350">IF(E1222&lt;=30,(0.6*E1222+1.25)*F1222,((0.6*30+1.25)+0.5*(E1222-30))*F1222)</f>
        <v>1.102725</v>
      </c>
      <c r="H1222" s="465"/>
      <c r="I1222" s="465"/>
      <c r="J1222" s="407">
        <f t="shared" si="343"/>
        <v>0</v>
      </c>
      <c r="K1222" s="408"/>
      <c r="L1222" s="152">
        <v>0</v>
      </c>
      <c r="M1222" s="213"/>
      <c r="N1222" s="402">
        <f t="shared" si="337"/>
        <v>0</v>
      </c>
      <c r="O1222" s="402">
        <f t="shared" si="338"/>
        <v>0</v>
      </c>
      <c r="P1222" s="403"/>
      <c r="Q1222" s="464"/>
      <c r="R1222" s="464"/>
      <c r="S1222" s="402">
        <f t="shared" si="339"/>
        <v>0</v>
      </c>
      <c r="T1222" s="404">
        <f t="shared" si="336"/>
        <v>0</v>
      </c>
      <c r="U1222" s="403"/>
      <c r="V1222" s="160" t="str">
        <f>IF(T1220&gt;0,"xx",IF(O1220&gt;0,"xy",""))</f>
        <v/>
      </c>
      <c r="W1222" s="43" t="str">
        <f t="shared" si="273"/>
        <v/>
      </c>
      <c r="X1222" s="43" t="str">
        <f t="shared" si="327"/>
        <v/>
      </c>
      <c r="Y1222" s="43" t="str">
        <f t="shared" si="344"/>
        <v/>
      </c>
    </row>
    <row r="1223" spans="1:25" hidden="1">
      <c r="A1223" s="155" t="s">
        <v>183</v>
      </c>
      <c r="B1223" s="156"/>
      <c r="C1223" s="411" t="s">
        <v>458</v>
      </c>
      <c r="D1223" s="351"/>
      <c r="E1223" s="405">
        <v>20</v>
      </c>
      <c r="F1223" s="406">
        <v>0.25</v>
      </c>
      <c r="G1223" s="158">
        <f t="shared" si="350"/>
        <v>3.3125</v>
      </c>
      <c r="H1223" s="465"/>
      <c r="I1223" s="465"/>
      <c r="J1223" s="407">
        <f t="shared" si="343"/>
        <v>0</v>
      </c>
      <c r="K1223" s="408"/>
      <c r="L1223" s="152">
        <v>0</v>
      </c>
      <c r="M1223" s="213"/>
      <c r="N1223" s="402">
        <f t="shared" si="337"/>
        <v>0</v>
      </c>
      <c r="O1223" s="402">
        <f t="shared" si="338"/>
        <v>0</v>
      </c>
      <c r="P1223" s="403"/>
      <c r="Q1223" s="464"/>
      <c r="R1223" s="464"/>
      <c r="S1223" s="402">
        <f t="shared" si="339"/>
        <v>0</v>
      </c>
      <c r="T1223" s="404">
        <f t="shared" si="336"/>
        <v>0</v>
      </c>
      <c r="U1223" s="403"/>
      <c r="V1223" s="160" t="str">
        <f>IF(T1220&gt;0,"xx",IF(O1220&gt;0,"xy",""))</f>
        <v/>
      </c>
      <c r="W1223" s="43" t="str">
        <f t="shared" si="273"/>
        <v/>
      </c>
      <c r="X1223" s="43" t="str">
        <f t="shared" si="327"/>
        <v/>
      </c>
      <c r="Y1223" s="43" t="str">
        <f t="shared" si="344"/>
        <v/>
      </c>
    </row>
    <row r="1224" spans="1:25" hidden="1">
      <c r="A1224" s="155">
        <v>610600</v>
      </c>
      <c r="B1224" s="156" t="s">
        <v>242</v>
      </c>
      <c r="C1224" s="411" t="s">
        <v>496</v>
      </c>
      <c r="D1224" s="351"/>
      <c r="E1224" s="405"/>
      <c r="F1224" s="406"/>
      <c r="G1224" s="158">
        <f>SUM(G1225:G1227)</f>
        <v>6.9001400000000004</v>
      </c>
      <c r="H1224" s="465">
        <v>166.26</v>
      </c>
      <c r="I1224" s="465">
        <f>IF(ISBLANK(H1224),"",SUM(G1224:H1224))*0.9</f>
        <v>155.84412599999999</v>
      </c>
      <c r="J1224" s="407">
        <f t="shared" si="343"/>
        <v>197.61</v>
      </c>
      <c r="K1224" s="408" t="s">
        <v>20</v>
      </c>
      <c r="L1224" s="152">
        <v>0</v>
      </c>
      <c r="M1224" s="152"/>
      <c r="N1224" s="402">
        <f t="shared" si="337"/>
        <v>0</v>
      </c>
      <c r="O1224" s="402">
        <f t="shared" si="338"/>
        <v>0</v>
      </c>
      <c r="P1224" s="403"/>
      <c r="Q1224" s="152">
        <f t="shared" si="347"/>
        <v>0</v>
      </c>
      <c r="R1224" s="152">
        <f t="shared" si="347"/>
        <v>0</v>
      </c>
      <c r="S1224" s="402">
        <f t="shared" si="339"/>
        <v>0</v>
      </c>
      <c r="T1224" s="404">
        <f t="shared" si="336"/>
        <v>0</v>
      </c>
      <c r="U1224" s="403"/>
      <c r="W1224" s="43" t="str">
        <f t="shared" si="273"/>
        <v/>
      </c>
      <c r="X1224" s="43" t="str">
        <f t="shared" si="327"/>
        <v/>
      </c>
      <c r="Y1224" s="43" t="str">
        <f t="shared" si="344"/>
        <v/>
      </c>
    </row>
    <row r="1225" spans="1:25" hidden="1">
      <c r="A1225" s="155" t="s">
        <v>183</v>
      </c>
      <c r="B1225" s="156"/>
      <c r="C1225" s="411" t="s">
        <v>251</v>
      </c>
      <c r="D1225" s="351"/>
      <c r="E1225" s="405">
        <v>500</v>
      </c>
      <c r="F1225" s="406">
        <v>2.5999999999999999E-3</v>
      </c>
      <c r="G1225" s="158">
        <f>IF(E1225&lt;=30,(0.42*E1225+3.55)*F1225,((0.42*30+3.55)+0.35*(E1225-30))*F1225)</f>
        <v>0.46969</v>
      </c>
      <c r="H1225" s="465"/>
      <c r="I1225" s="465"/>
      <c r="J1225" s="407">
        <f t="shared" si="343"/>
        <v>0</v>
      </c>
      <c r="K1225" s="408"/>
      <c r="L1225" s="152">
        <v>0</v>
      </c>
      <c r="M1225" s="213"/>
      <c r="N1225" s="402">
        <f t="shared" si="337"/>
        <v>0</v>
      </c>
      <c r="O1225" s="402">
        <f t="shared" si="338"/>
        <v>0</v>
      </c>
      <c r="P1225" s="403"/>
      <c r="Q1225" s="464"/>
      <c r="R1225" s="464"/>
      <c r="S1225" s="402">
        <f t="shared" si="339"/>
        <v>0</v>
      </c>
      <c r="T1225" s="404">
        <f t="shared" si="336"/>
        <v>0</v>
      </c>
      <c r="U1225" s="403"/>
      <c r="V1225" s="160" t="str">
        <f>IF(T1224&gt;0,"xx",IF(O1224&gt;0,"xy",""))</f>
        <v/>
      </c>
      <c r="W1225" s="43" t="str">
        <f t="shared" si="273"/>
        <v/>
      </c>
      <c r="X1225" s="43" t="str">
        <f t="shared" si="327"/>
        <v/>
      </c>
      <c r="Y1225" s="43" t="str">
        <f t="shared" si="344"/>
        <v/>
      </c>
    </row>
    <row r="1226" spans="1:25" hidden="1">
      <c r="A1226" s="155" t="s">
        <v>183</v>
      </c>
      <c r="B1226" s="156"/>
      <c r="C1226" s="411" t="s">
        <v>314</v>
      </c>
      <c r="D1226" s="351"/>
      <c r="E1226" s="405">
        <v>180</v>
      </c>
      <c r="F1226" s="406">
        <v>1.34E-2</v>
      </c>
      <c r="G1226" s="158">
        <f t="shared" ref="G1226:G1227" si="351">IF(E1226&lt;=30,(0.6*E1226+1.25)*F1226,((0.6*30+1.25)+0.5*(E1226-30))*F1226)</f>
        <v>1.26295</v>
      </c>
      <c r="H1226" s="465"/>
      <c r="I1226" s="465"/>
      <c r="J1226" s="407">
        <f t="shared" si="343"/>
        <v>0</v>
      </c>
      <c r="K1226" s="408"/>
      <c r="L1226" s="152">
        <v>0</v>
      </c>
      <c r="M1226" s="213"/>
      <c r="N1226" s="402">
        <f t="shared" si="337"/>
        <v>0</v>
      </c>
      <c r="O1226" s="402">
        <f t="shared" si="338"/>
        <v>0</v>
      </c>
      <c r="P1226" s="403"/>
      <c r="Q1226" s="464"/>
      <c r="R1226" s="464"/>
      <c r="S1226" s="402">
        <f t="shared" si="339"/>
        <v>0</v>
      </c>
      <c r="T1226" s="404">
        <f t="shared" si="336"/>
        <v>0</v>
      </c>
      <c r="U1226" s="403"/>
      <c r="V1226" s="160" t="str">
        <f>IF(T1224&gt;0,"xx",IF(O1224&gt;0,"xy",""))</f>
        <v/>
      </c>
      <c r="W1226" s="43" t="str">
        <f t="shared" ref="W1226:W1297" si="352">IF(V1226="X","x",IF(V1226="xx","x",IF(V1226="xy","x",IF(V1226="y","x",IF(OR(O1226&gt;0,T1226&gt;0),"x","")))))</f>
        <v/>
      </c>
      <c r="X1226" s="43" t="str">
        <f t="shared" si="327"/>
        <v/>
      </c>
      <c r="Y1226" s="43" t="str">
        <f t="shared" si="344"/>
        <v/>
      </c>
    </row>
    <row r="1227" spans="1:25" hidden="1">
      <c r="A1227" s="155" t="s">
        <v>183</v>
      </c>
      <c r="B1227" s="156"/>
      <c r="C1227" s="411" t="s">
        <v>458</v>
      </c>
      <c r="D1227" s="351"/>
      <c r="E1227" s="405">
        <v>20</v>
      </c>
      <c r="F1227" s="406">
        <v>0.39</v>
      </c>
      <c r="G1227" s="158">
        <f t="shared" si="351"/>
        <v>5.1675000000000004</v>
      </c>
      <c r="H1227" s="465"/>
      <c r="I1227" s="465"/>
      <c r="J1227" s="407">
        <f t="shared" si="343"/>
        <v>0</v>
      </c>
      <c r="K1227" s="408"/>
      <c r="L1227" s="152">
        <v>0</v>
      </c>
      <c r="M1227" s="213"/>
      <c r="N1227" s="402">
        <f t="shared" si="337"/>
        <v>0</v>
      </c>
      <c r="O1227" s="402">
        <f t="shared" si="338"/>
        <v>0</v>
      </c>
      <c r="P1227" s="403"/>
      <c r="Q1227" s="464"/>
      <c r="R1227" s="464"/>
      <c r="S1227" s="402">
        <f t="shared" si="339"/>
        <v>0</v>
      </c>
      <c r="T1227" s="404">
        <f t="shared" si="336"/>
        <v>0</v>
      </c>
      <c r="U1227" s="403"/>
      <c r="V1227" s="160" t="str">
        <f>IF(T1224&gt;0,"xx",IF(O1224&gt;0,"xy",""))</f>
        <v/>
      </c>
      <c r="W1227" s="43" t="str">
        <f t="shared" si="352"/>
        <v/>
      </c>
      <c r="X1227" s="43" t="str">
        <f t="shared" si="327"/>
        <v/>
      </c>
      <c r="Y1227" s="43" t="str">
        <f t="shared" si="344"/>
        <v/>
      </c>
    </row>
    <row r="1228" spans="1:25" hidden="1">
      <c r="A1228" s="155" t="s">
        <v>983</v>
      </c>
      <c r="B1228" s="156" t="s">
        <v>242</v>
      </c>
      <c r="C1228" s="411" t="s">
        <v>984</v>
      </c>
      <c r="D1228" s="351"/>
      <c r="E1228" s="405"/>
      <c r="F1228" s="406"/>
      <c r="G1228" s="158">
        <f>SUM(G1229:G1231)</f>
        <v>8.9695599999999995</v>
      </c>
      <c r="H1228" s="465">
        <v>219.1</v>
      </c>
      <c r="I1228" s="465">
        <f>IF(ISBLANK(H1228),"",SUM(G1228:H1228))*0.9</f>
        <v>205.26260400000001</v>
      </c>
      <c r="J1228" s="407">
        <f t="shared" si="343"/>
        <v>260.27</v>
      </c>
      <c r="K1228" s="408" t="s">
        <v>20</v>
      </c>
      <c r="L1228" s="152">
        <v>0</v>
      </c>
      <c r="M1228" s="152"/>
      <c r="N1228" s="402">
        <f t="shared" si="337"/>
        <v>0</v>
      </c>
      <c r="O1228" s="402">
        <f t="shared" si="338"/>
        <v>0</v>
      </c>
      <c r="P1228" s="403"/>
      <c r="Q1228" s="152">
        <f t="shared" si="347"/>
        <v>0</v>
      </c>
      <c r="R1228" s="152">
        <f t="shared" si="347"/>
        <v>0</v>
      </c>
      <c r="S1228" s="402">
        <f t="shared" si="339"/>
        <v>0</v>
      </c>
      <c r="T1228" s="404">
        <f t="shared" si="336"/>
        <v>0</v>
      </c>
      <c r="U1228" s="403"/>
      <c r="W1228" s="43" t="str">
        <f t="shared" si="352"/>
        <v/>
      </c>
      <c r="X1228" s="43" t="str">
        <f t="shared" si="327"/>
        <v/>
      </c>
      <c r="Y1228" s="43" t="str">
        <f t="shared" si="344"/>
        <v/>
      </c>
    </row>
    <row r="1229" spans="1:25" hidden="1">
      <c r="A1229" s="155" t="s">
        <v>183</v>
      </c>
      <c r="B1229" s="156"/>
      <c r="C1229" s="411" t="s">
        <v>251</v>
      </c>
      <c r="D1229" s="351"/>
      <c r="E1229" s="405">
        <v>500</v>
      </c>
      <c r="F1229" s="406">
        <v>2.8999999999999998E-3</v>
      </c>
      <c r="G1229" s="158">
        <f>IF(E1229&lt;=30,(0.42*E1229+3.55)*F1229,((0.42*30+3.55)+0.35*(E1229-30))*F1229)</f>
        <v>0.52388499999999993</v>
      </c>
      <c r="H1229" s="465"/>
      <c r="I1229" s="465"/>
      <c r="J1229" s="407">
        <f t="shared" si="343"/>
        <v>0</v>
      </c>
      <c r="K1229" s="408"/>
      <c r="L1229" s="152">
        <v>0</v>
      </c>
      <c r="M1229" s="213"/>
      <c r="N1229" s="402">
        <f t="shared" si="337"/>
        <v>0</v>
      </c>
      <c r="O1229" s="402">
        <f t="shared" si="338"/>
        <v>0</v>
      </c>
      <c r="P1229" s="403"/>
      <c r="Q1229" s="464"/>
      <c r="R1229" s="464"/>
      <c r="S1229" s="402">
        <f t="shared" si="339"/>
        <v>0</v>
      </c>
      <c r="T1229" s="404">
        <f t="shared" si="336"/>
        <v>0</v>
      </c>
      <c r="U1229" s="403"/>
      <c r="V1229" s="160" t="str">
        <f>IF(T1228&gt;0,"xx",IF(O1228&gt;0,"xy",""))</f>
        <v/>
      </c>
      <c r="W1229" s="43" t="str">
        <f t="shared" si="352"/>
        <v/>
      </c>
      <c r="X1229" s="43" t="str">
        <f t="shared" si="327"/>
        <v/>
      </c>
      <c r="Y1229" s="43" t="str">
        <f t="shared" si="344"/>
        <v/>
      </c>
    </row>
    <row r="1230" spans="1:25" hidden="1">
      <c r="A1230" s="155" t="s">
        <v>183</v>
      </c>
      <c r="B1230" s="156"/>
      <c r="C1230" s="411" t="s">
        <v>314</v>
      </c>
      <c r="D1230" s="351"/>
      <c r="E1230" s="405">
        <v>180</v>
      </c>
      <c r="F1230" s="406">
        <v>1.5100000000000001E-2</v>
      </c>
      <c r="G1230" s="158">
        <f t="shared" ref="G1230:G1231" si="353">IF(E1230&lt;=30,(0.6*E1230+1.25)*F1230,((0.6*30+1.25)+0.5*(E1230-30))*F1230)</f>
        <v>1.4231750000000001</v>
      </c>
      <c r="H1230" s="465"/>
      <c r="I1230" s="465"/>
      <c r="J1230" s="407">
        <f t="shared" si="343"/>
        <v>0</v>
      </c>
      <c r="K1230" s="408"/>
      <c r="L1230" s="152">
        <v>0</v>
      </c>
      <c r="M1230" s="213"/>
      <c r="N1230" s="402">
        <f t="shared" si="337"/>
        <v>0</v>
      </c>
      <c r="O1230" s="402">
        <f t="shared" si="338"/>
        <v>0</v>
      </c>
      <c r="P1230" s="403"/>
      <c r="Q1230" s="464"/>
      <c r="R1230" s="464"/>
      <c r="S1230" s="402">
        <f t="shared" si="339"/>
        <v>0</v>
      </c>
      <c r="T1230" s="404">
        <f t="shared" si="336"/>
        <v>0</v>
      </c>
      <c r="U1230" s="403"/>
      <c r="V1230" s="160" t="str">
        <f>IF(T1228&gt;0,"xx",IF(O1228&gt;0,"xy",""))</f>
        <v/>
      </c>
      <c r="W1230" s="43" t="str">
        <f t="shared" si="352"/>
        <v/>
      </c>
      <c r="X1230" s="43" t="str">
        <f t="shared" si="327"/>
        <v/>
      </c>
      <c r="Y1230" s="43" t="str">
        <f t="shared" si="344"/>
        <v/>
      </c>
    </row>
    <row r="1231" spans="1:25" hidden="1">
      <c r="A1231" s="155" t="s">
        <v>183</v>
      </c>
      <c r="B1231" s="156"/>
      <c r="C1231" s="411" t="s">
        <v>458</v>
      </c>
      <c r="D1231" s="351"/>
      <c r="E1231" s="405">
        <v>20</v>
      </c>
      <c r="F1231" s="406">
        <v>0.53</v>
      </c>
      <c r="G1231" s="158">
        <f t="shared" si="353"/>
        <v>7.0225</v>
      </c>
      <c r="H1231" s="465"/>
      <c r="I1231" s="465"/>
      <c r="J1231" s="407">
        <f t="shared" si="343"/>
        <v>0</v>
      </c>
      <c r="K1231" s="408"/>
      <c r="L1231" s="152">
        <v>0</v>
      </c>
      <c r="M1231" s="213"/>
      <c r="N1231" s="402">
        <f t="shared" si="337"/>
        <v>0</v>
      </c>
      <c r="O1231" s="402">
        <f t="shared" si="338"/>
        <v>0</v>
      </c>
      <c r="P1231" s="403"/>
      <c r="Q1231" s="464"/>
      <c r="R1231" s="464"/>
      <c r="S1231" s="402">
        <f t="shared" si="339"/>
        <v>0</v>
      </c>
      <c r="T1231" s="404">
        <f t="shared" si="336"/>
        <v>0</v>
      </c>
      <c r="U1231" s="403"/>
      <c r="V1231" s="160" t="str">
        <f>IF(T1228&gt;0,"xx",IF(O1228&gt;0,"xy",""))</f>
        <v/>
      </c>
      <c r="W1231" s="43" t="str">
        <f t="shared" si="352"/>
        <v/>
      </c>
      <c r="X1231" s="43" t="str">
        <f t="shared" si="327"/>
        <v/>
      </c>
      <c r="Y1231" s="43" t="str">
        <f t="shared" si="344"/>
        <v/>
      </c>
    </row>
    <row r="1232" spans="1:25" hidden="1">
      <c r="A1232" s="155">
        <v>610800</v>
      </c>
      <c r="B1232" s="156" t="s">
        <v>242</v>
      </c>
      <c r="C1232" s="411" t="s">
        <v>497</v>
      </c>
      <c r="D1232" s="351"/>
      <c r="E1232" s="405"/>
      <c r="F1232" s="406"/>
      <c r="G1232" s="158">
        <f>SUM(G1233:G1235)</f>
        <v>11.038980000000002</v>
      </c>
      <c r="H1232" s="465">
        <v>271.94</v>
      </c>
      <c r="I1232" s="465">
        <f>IF(ISBLANK(H1232),"",SUM(G1232:H1232))*0.9</f>
        <v>254.68108199999998</v>
      </c>
      <c r="J1232" s="407">
        <f t="shared" si="343"/>
        <v>322.94</v>
      </c>
      <c r="K1232" s="408" t="s">
        <v>20</v>
      </c>
      <c r="L1232" s="152">
        <v>0</v>
      </c>
      <c r="M1232" s="152"/>
      <c r="N1232" s="402">
        <f t="shared" si="337"/>
        <v>0</v>
      </c>
      <c r="O1232" s="402">
        <f t="shared" si="338"/>
        <v>0</v>
      </c>
      <c r="P1232" s="403"/>
      <c r="Q1232" s="152">
        <f t="shared" si="347"/>
        <v>0</v>
      </c>
      <c r="R1232" s="152">
        <f t="shared" si="347"/>
        <v>0</v>
      </c>
      <c r="S1232" s="402">
        <f t="shared" si="339"/>
        <v>0</v>
      </c>
      <c r="T1232" s="404">
        <f t="shared" si="336"/>
        <v>0</v>
      </c>
      <c r="U1232" s="403"/>
      <c r="W1232" s="43" t="str">
        <f t="shared" si="352"/>
        <v/>
      </c>
      <c r="X1232" s="43" t="str">
        <f t="shared" si="327"/>
        <v/>
      </c>
      <c r="Y1232" s="43" t="str">
        <f t="shared" si="344"/>
        <v/>
      </c>
    </row>
    <row r="1233" spans="1:25" hidden="1">
      <c r="A1233" s="155" t="s">
        <v>183</v>
      </c>
      <c r="B1233" s="156"/>
      <c r="C1233" s="411" t="s">
        <v>251</v>
      </c>
      <c r="D1233" s="351"/>
      <c r="E1233" s="405">
        <v>500</v>
      </c>
      <c r="F1233" s="406">
        <v>3.2000000000000002E-3</v>
      </c>
      <c r="G1233" s="158">
        <f>IF(E1233&lt;=30,(0.42*E1233+3.55)*F1233,((0.42*30+3.55)+0.35*(E1233-30))*F1233)</f>
        <v>0.57808000000000004</v>
      </c>
      <c r="H1233" s="465"/>
      <c r="I1233" s="465"/>
      <c r="J1233" s="407">
        <f t="shared" si="343"/>
        <v>0</v>
      </c>
      <c r="K1233" s="408"/>
      <c r="L1233" s="152">
        <v>0</v>
      </c>
      <c r="M1233" s="213"/>
      <c r="N1233" s="402">
        <f t="shared" si="337"/>
        <v>0</v>
      </c>
      <c r="O1233" s="402">
        <f t="shared" si="338"/>
        <v>0</v>
      </c>
      <c r="P1233" s="403"/>
      <c r="Q1233" s="464"/>
      <c r="R1233" s="464"/>
      <c r="S1233" s="402">
        <f t="shared" si="339"/>
        <v>0</v>
      </c>
      <c r="T1233" s="404">
        <f t="shared" si="336"/>
        <v>0</v>
      </c>
      <c r="U1233" s="403"/>
      <c r="V1233" s="160" t="str">
        <f>IF(T1232&gt;0,"xx",IF(O1232&gt;0,"xy",""))</f>
        <v/>
      </c>
      <c r="W1233" s="43" t="str">
        <f t="shared" si="352"/>
        <v/>
      </c>
      <c r="X1233" s="43" t="str">
        <f t="shared" si="327"/>
        <v/>
      </c>
      <c r="Y1233" s="43" t="str">
        <f t="shared" si="344"/>
        <v/>
      </c>
    </row>
    <row r="1234" spans="1:25" hidden="1">
      <c r="A1234" s="155" t="s">
        <v>183</v>
      </c>
      <c r="B1234" s="156"/>
      <c r="C1234" s="411" t="s">
        <v>314</v>
      </c>
      <c r="D1234" s="351"/>
      <c r="E1234" s="405">
        <v>180</v>
      </c>
      <c r="F1234" s="406">
        <v>1.6799999999999999E-2</v>
      </c>
      <c r="G1234" s="158">
        <f t="shared" ref="G1234:G1235" si="354">IF(E1234&lt;=30,(0.6*E1234+1.25)*F1234,((0.6*30+1.25)+0.5*(E1234-30))*F1234)</f>
        <v>1.5833999999999999</v>
      </c>
      <c r="H1234" s="465"/>
      <c r="I1234" s="465"/>
      <c r="J1234" s="407">
        <f t="shared" si="343"/>
        <v>0</v>
      </c>
      <c r="K1234" s="408"/>
      <c r="L1234" s="152">
        <v>0</v>
      </c>
      <c r="M1234" s="213"/>
      <c r="N1234" s="402">
        <f t="shared" si="337"/>
        <v>0</v>
      </c>
      <c r="O1234" s="402">
        <f t="shared" si="338"/>
        <v>0</v>
      </c>
      <c r="P1234" s="403"/>
      <c r="Q1234" s="464"/>
      <c r="R1234" s="464"/>
      <c r="S1234" s="402">
        <f t="shared" si="339"/>
        <v>0</v>
      </c>
      <c r="T1234" s="404">
        <f t="shared" si="336"/>
        <v>0</v>
      </c>
      <c r="U1234" s="403"/>
      <c r="V1234" s="160" t="str">
        <f>IF(T1232&gt;0,"xx",IF(O1232&gt;0,"xy",""))</f>
        <v/>
      </c>
      <c r="W1234" s="43" t="str">
        <f t="shared" si="352"/>
        <v/>
      </c>
      <c r="X1234" s="43" t="str">
        <f t="shared" si="327"/>
        <v/>
      </c>
      <c r="Y1234" s="43" t="str">
        <f t="shared" si="344"/>
        <v/>
      </c>
    </row>
    <row r="1235" spans="1:25" hidden="1">
      <c r="A1235" s="155" t="s">
        <v>183</v>
      </c>
      <c r="B1235" s="156"/>
      <c r="C1235" s="411" t="s">
        <v>458</v>
      </c>
      <c r="D1235" s="351"/>
      <c r="E1235" s="405">
        <v>20</v>
      </c>
      <c r="F1235" s="406">
        <v>0.67</v>
      </c>
      <c r="G1235" s="158">
        <f t="shared" si="354"/>
        <v>8.8775000000000013</v>
      </c>
      <c r="H1235" s="465"/>
      <c r="I1235" s="465"/>
      <c r="J1235" s="407">
        <f t="shared" si="343"/>
        <v>0</v>
      </c>
      <c r="K1235" s="408"/>
      <c r="L1235" s="152">
        <v>0</v>
      </c>
      <c r="M1235" s="213"/>
      <c r="N1235" s="402">
        <f t="shared" si="337"/>
        <v>0</v>
      </c>
      <c r="O1235" s="402">
        <f t="shared" si="338"/>
        <v>0</v>
      </c>
      <c r="P1235" s="403"/>
      <c r="Q1235" s="464"/>
      <c r="R1235" s="464"/>
      <c r="S1235" s="402">
        <f t="shared" si="339"/>
        <v>0</v>
      </c>
      <c r="T1235" s="404">
        <f t="shared" si="336"/>
        <v>0</v>
      </c>
      <c r="U1235" s="403"/>
      <c r="V1235" s="160" t="str">
        <f>IF(T1232&gt;0,"xx",IF(O1232&gt;0,"xy",""))</f>
        <v/>
      </c>
      <c r="W1235" s="43" t="str">
        <f t="shared" si="352"/>
        <v/>
      </c>
      <c r="X1235" s="43" t="str">
        <f t="shared" si="327"/>
        <v/>
      </c>
      <c r="Y1235" s="43" t="str">
        <f t="shared" si="344"/>
        <v/>
      </c>
    </row>
    <row r="1236" spans="1:25" hidden="1">
      <c r="A1236" s="155" t="s">
        <v>985</v>
      </c>
      <c r="B1236" s="156" t="s">
        <v>242</v>
      </c>
      <c r="C1236" s="411" t="s">
        <v>986</v>
      </c>
      <c r="D1236" s="351"/>
      <c r="E1236" s="405"/>
      <c r="F1236" s="406"/>
      <c r="G1236" s="158">
        <f>SUM(G1237:G1239)</f>
        <v>13.765599999999999</v>
      </c>
      <c r="H1236" s="465">
        <v>322.685</v>
      </c>
      <c r="I1236" s="465">
        <f>IF(ISBLANK(H1236),"",SUM(G1236:H1236))*0.9</f>
        <v>302.80554000000001</v>
      </c>
      <c r="J1236" s="407">
        <f t="shared" si="343"/>
        <v>383.96</v>
      </c>
      <c r="K1236" s="408" t="s">
        <v>20</v>
      </c>
      <c r="L1236" s="152">
        <v>0</v>
      </c>
      <c r="M1236" s="152"/>
      <c r="N1236" s="402">
        <f t="shared" si="337"/>
        <v>0</v>
      </c>
      <c r="O1236" s="402">
        <f t="shared" si="338"/>
        <v>0</v>
      </c>
      <c r="P1236" s="403"/>
      <c r="Q1236" s="152">
        <f t="shared" si="347"/>
        <v>0</v>
      </c>
      <c r="R1236" s="152">
        <f t="shared" si="347"/>
        <v>0</v>
      </c>
      <c r="S1236" s="402">
        <f t="shared" si="339"/>
        <v>0</v>
      </c>
      <c r="T1236" s="404">
        <f t="shared" si="336"/>
        <v>0</v>
      </c>
      <c r="U1236" s="403"/>
      <c r="W1236" s="43" t="str">
        <f t="shared" si="352"/>
        <v/>
      </c>
      <c r="X1236" s="43" t="str">
        <f t="shared" si="327"/>
        <v/>
      </c>
      <c r="Y1236" s="43" t="str">
        <f t="shared" si="344"/>
        <v/>
      </c>
    </row>
    <row r="1237" spans="1:25" hidden="1">
      <c r="A1237" s="155" t="s">
        <v>183</v>
      </c>
      <c r="B1237" s="156"/>
      <c r="C1237" s="411" t="s">
        <v>251</v>
      </c>
      <c r="D1237" s="351"/>
      <c r="E1237" s="405">
        <v>500</v>
      </c>
      <c r="F1237" s="406">
        <v>4.0000000000000001E-3</v>
      </c>
      <c r="G1237" s="158">
        <f>IF(E1237&lt;=30,(0.42*E1237+3.55)*F1237,((0.42*30+3.55)+0.35*(E1237-30))*F1237)</f>
        <v>0.72260000000000002</v>
      </c>
      <c r="H1237" s="465"/>
      <c r="I1237" s="465"/>
      <c r="J1237" s="407">
        <f t="shared" si="343"/>
        <v>0</v>
      </c>
      <c r="K1237" s="408"/>
      <c r="L1237" s="152">
        <v>0</v>
      </c>
      <c r="M1237" s="213"/>
      <c r="N1237" s="402">
        <f t="shared" si="337"/>
        <v>0</v>
      </c>
      <c r="O1237" s="402">
        <f t="shared" si="338"/>
        <v>0</v>
      </c>
      <c r="P1237" s="403"/>
      <c r="Q1237" s="464"/>
      <c r="R1237" s="464"/>
      <c r="S1237" s="402">
        <f t="shared" si="339"/>
        <v>0</v>
      </c>
      <c r="T1237" s="404">
        <f t="shared" si="336"/>
        <v>0</v>
      </c>
      <c r="U1237" s="403"/>
      <c r="V1237" s="160" t="str">
        <f>IF(T1236&gt;0,"xx",IF(O1236&gt;0,"xy",""))</f>
        <v/>
      </c>
      <c r="W1237" s="43" t="str">
        <f t="shared" si="352"/>
        <v/>
      </c>
      <c r="X1237" s="43" t="str">
        <f t="shared" si="327"/>
        <v/>
      </c>
      <c r="Y1237" s="43" t="str">
        <f t="shared" si="344"/>
        <v/>
      </c>
    </row>
    <row r="1238" spans="1:25" hidden="1">
      <c r="A1238" s="155" t="s">
        <v>183</v>
      </c>
      <c r="B1238" s="156"/>
      <c r="C1238" s="411" t="s">
        <v>314</v>
      </c>
      <c r="D1238" s="351"/>
      <c r="E1238" s="405">
        <v>180</v>
      </c>
      <c r="F1238" s="406">
        <v>2.1000000000000001E-2</v>
      </c>
      <c r="G1238" s="158">
        <f t="shared" ref="G1238:G1239" si="355">IF(E1238&lt;=30,(0.6*E1238+1.25)*F1238,((0.6*30+1.25)+0.5*(E1238-30))*F1238)</f>
        <v>1.9792500000000002</v>
      </c>
      <c r="H1238" s="465"/>
      <c r="I1238" s="465"/>
      <c r="J1238" s="407">
        <f t="shared" si="343"/>
        <v>0</v>
      </c>
      <c r="K1238" s="408"/>
      <c r="L1238" s="152">
        <v>0</v>
      </c>
      <c r="M1238" s="213"/>
      <c r="N1238" s="402">
        <f t="shared" si="337"/>
        <v>0</v>
      </c>
      <c r="O1238" s="402">
        <f t="shared" si="338"/>
        <v>0</v>
      </c>
      <c r="P1238" s="403"/>
      <c r="Q1238" s="464"/>
      <c r="R1238" s="464"/>
      <c r="S1238" s="402">
        <f t="shared" si="339"/>
        <v>0</v>
      </c>
      <c r="T1238" s="404">
        <f t="shared" si="336"/>
        <v>0</v>
      </c>
      <c r="U1238" s="403"/>
      <c r="V1238" s="160" t="str">
        <f>IF(T1236&gt;0,"xx",IF(O1236&gt;0,"xy",""))</f>
        <v/>
      </c>
      <c r="W1238" s="43" t="str">
        <f t="shared" si="352"/>
        <v/>
      </c>
      <c r="X1238" s="43" t="str">
        <f t="shared" si="327"/>
        <v/>
      </c>
      <c r="Y1238" s="43" t="str">
        <f t="shared" si="344"/>
        <v/>
      </c>
    </row>
    <row r="1239" spans="1:25" hidden="1">
      <c r="A1239" s="155" t="s">
        <v>183</v>
      </c>
      <c r="B1239" s="156"/>
      <c r="C1239" s="411" t="s">
        <v>458</v>
      </c>
      <c r="D1239" s="351"/>
      <c r="E1239" s="405">
        <v>20</v>
      </c>
      <c r="F1239" s="406">
        <v>0.83499999999999996</v>
      </c>
      <c r="G1239" s="158">
        <f t="shared" si="355"/>
        <v>11.063749999999999</v>
      </c>
      <c r="H1239" s="465"/>
      <c r="I1239" s="465"/>
      <c r="J1239" s="407">
        <f t="shared" si="343"/>
        <v>0</v>
      </c>
      <c r="K1239" s="408"/>
      <c r="L1239" s="152">
        <v>0</v>
      </c>
      <c r="M1239" s="213"/>
      <c r="N1239" s="402">
        <f t="shared" si="337"/>
        <v>0</v>
      </c>
      <c r="O1239" s="402">
        <f t="shared" si="338"/>
        <v>0</v>
      </c>
      <c r="P1239" s="403"/>
      <c r="Q1239" s="464"/>
      <c r="R1239" s="464"/>
      <c r="S1239" s="402">
        <f t="shared" si="339"/>
        <v>0</v>
      </c>
      <c r="T1239" s="404">
        <f t="shared" si="336"/>
        <v>0</v>
      </c>
      <c r="U1239" s="403"/>
      <c r="V1239" s="160" t="str">
        <f>IF(T1236&gt;0,"xx",IF(O1236&gt;0,"xy",""))</f>
        <v/>
      </c>
      <c r="W1239" s="43" t="str">
        <f t="shared" si="352"/>
        <v/>
      </c>
      <c r="X1239" s="43" t="str">
        <f t="shared" si="327"/>
        <v/>
      </c>
      <c r="Y1239" s="43" t="str">
        <f t="shared" si="344"/>
        <v/>
      </c>
    </row>
    <row r="1240" spans="1:25" hidden="1">
      <c r="A1240" s="155">
        <v>611000</v>
      </c>
      <c r="B1240" s="156" t="s">
        <v>242</v>
      </c>
      <c r="C1240" s="411" t="s">
        <v>498</v>
      </c>
      <c r="D1240" s="351"/>
      <c r="E1240" s="405"/>
      <c r="F1240" s="406"/>
      <c r="G1240" s="158">
        <f>SUM(G1241:G1243)</f>
        <v>16.49222</v>
      </c>
      <c r="H1240" s="465">
        <v>373.43</v>
      </c>
      <c r="I1240" s="465">
        <f>IF(ISBLANK(H1240),"",SUM(G1240:H1240))*0.9</f>
        <v>350.92999800000001</v>
      </c>
      <c r="J1240" s="407">
        <f t="shared" si="343"/>
        <v>444.98</v>
      </c>
      <c r="K1240" s="408" t="s">
        <v>20</v>
      </c>
      <c r="L1240" s="152">
        <v>0</v>
      </c>
      <c r="M1240" s="152"/>
      <c r="N1240" s="402">
        <f t="shared" si="337"/>
        <v>0</v>
      </c>
      <c r="O1240" s="402">
        <f t="shared" si="338"/>
        <v>0</v>
      </c>
      <c r="P1240" s="403"/>
      <c r="Q1240" s="152">
        <f t="shared" si="347"/>
        <v>0</v>
      </c>
      <c r="R1240" s="152">
        <f t="shared" si="347"/>
        <v>0</v>
      </c>
      <c r="S1240" s="402">
        <f t="shared" si="339"/>
        <v>0</v>
      </c>
      <c r="T1240" s="404">
        <f t="shared" si="336"/>
        <v>0</v>
      </c>
      <c r="U1240" s="403"/>
      <c r="W1240" s="43" t="str">
        <f t="shared" si="352"/>
        <v/>
      </c>
      <c r="X1240" s="43" t="str">
        <f t="shared" si="327"/>
        <v/>
      </c>
      <c r="Y1240" s="43" t="str">
        <f t="shared" si="344"/>
        <v/>
      </c>
    </row>
    <row r="1241" spans="1:25" hidden="1">
      <c r="A1241" s="155" t="s">
        <v>183</v>
      </c>
      <c r="B1241" s="156"/>
      <c r="C1241" s="411" t="s">
        <v>251</v>
      </c>
      <c r="D1241" s="351"/>
      <c r="E1241" s="405">
        <v>500</v>
      </c>
      <c r="F1241" s="406">
        <v>4.7999999999999996E-3</v>
      </c>
      <c r="G1241" s="158">
        <f>IF(E1241&lt;=30,(0.42*E1241+3.55)*F1241,((0.42*30+3.55)+0.35*(E1241-30))*F1241)</f>
        <v>0.86712</v>
      </c>
      <c r="H1241" s="465"/>
      <c r="I1241" s="465"/>
      <c r="J1241" s="407">
        <f t="shared" si="343"/>
        <v>0</v>
      </c>
      <c r="K1241" s="408"/>
      <c r="L1241" s="152">
        <v>0</v>
      </c>
      <c r="M1241" s="213"/>
      <c r="N1241" s="402">
        <f t="shared" si="337"/>
        <v>0</v>
      </c>
      <c r="O1241" s="402">
        <f t="shared" si="338"/>
        <v>0</v>
      </c>
      <c r="P1241" s="403"/>
      <c r="Q1241" s="464"/>
      <c r="R1241" s="464"/>
      <c r="S1241" s="402">
        <f t="shared" si="339"/>
        <v>0</v>
      </c>
      <c r="T1241" s="404">
        <f t="shared" si="336"/>
        <v>0</v>
      </c>
      <c r="U1241" s="403"/>
      <c r="V1241" s="160" t="str">
        <f>IF(T1240&gt;0,"xx",IF(O1240&gt;0,"xy",""))</f>
        <v/>
      </c>
      <c r="W1241" s="43" t="str">
        <f t="shared" si="352"/>
        <v/>
      </c>
      <c r="X1241" s="43" t="str">
        <f t="shared" si="327"/>
        <v/>
      </c>
      <c r="Y1241" s="43" t="str">
        <f t="shared" si="344"/>
        <v/>
      </c>
    </row>
    <row r="1242" spans="1:25" hidden="1">
      <c r="A1242" s="155" t="s">
        <v>183</v>
      </c>
      <c r="B1242" s="156"/>
      <c r="C1242" s="411" t="s">
        <v>314</v>
      </c>
      <c r="D1242" s="351"/>
      <c r="E1242" s="405">
        <v>180</v>
      </c>
      <c r="F1242" s="406">
        <v>2.52E-2</v>
      </c>
      <c r="G1242" s="158">
        <f t="shared" ref="G1242:G1243" si="356">IF(E1242&lt;=30,(0.6*E1242+1.25)*F1242,((0.6*30+1.25)+0.5*(E1242-30))*F1242)</f>
        <v>2.3751000000000002</v>
      </c>
      <c r="H1242" s="465"/>
      <c r="I1242" s="465"/>
      <c r="J1242" s="407">
        <f t="shared" si="343"/>
        <v>0</v>
      </c>
      <c r="K1242" s="408"/>
      <c r="L1242" s="152">
        <v>0</v>
      </c>
      <c r="M1242" s="213"/>
      <c r="N1242" s="402">
        <f t="shared" si="337"/>
        <v>0</v>
      </c>
      <c r="O1242" s="402">
        <f t="shared" si="338"/>
        <v>0</v>
      </c>
      <c r="P1242" s="403"/>
      <c r="Q1242" s="464"/>
      <c r="R1242" s="464"/>
      <c r="S1242" s="402">
        <f t="shared" si="339"/>
        <v>0</v>
      </c>
      <c r="T1242" s="404">
        <f t="shared" si="336"/>
        <v>0</v>
      </c>
      <c r="U1242" s="403"/>
      <c r="V1242" s="160" t="str">
        <f>IF(T1240&gt;0,"xx",IF(O1240&gt;0,"xy",""))</f>
        <v/>
      </c>
      <c r="W1242" s="43" t="str">
        <f t="shared" si="352"/>
        <v/>
      </c>
      <c r="X1242" s="43" t="str">
        <f t="shared" si="327"/>
        <v/>
      </c>
      <c r="Y1242" s="43" t="str">
        <f t="shared" si="344"/>
        <v/>
      </c>
    </row>
    <row r="1243" spans="1:25" hidden="1">
      <c r="A1243" s="155" t="s">
        <v>183</v>
      </c>
      <c r="B1243" s="156"/>
      <c r="C1243" s="411" t="s">
        <v>458</v>
      </c>
      <c r="D1243" s="351"/>
      <c r="E1243" s="405">
        <v>20</v>
      </c>
      <c r="F1243" s="406">
        <v>1</v>
      </c>
      <c r="G1243" s="158">
        <f t="shared" si="356"/>
        <v>13.25</v>
      </c>
      <c r="H1243" s="465"/>
      <c r="I1243" s="465"/>
      <c r="J1243" s="407">
        <f t="shared" si="343"/>
        <v>0</v>
      </c>
      <c r="K1243" s="408"/>
      <c r="L1243" s="152">
        <v>0</v>
      </c>
      <c r="M1243" s="213"/>
      <c r="N1243" s="402">
        <f t="shared" si="337"/>
        <v>0</v>
      </c>
      <c r="O1243" s="402">
        <f t="shared" si="338"/>
        <v>0</v>
      </c>
      <c r="P1243" s="403"/>
      <c r="Q1243" s="464"/>
      <c r="R1243" s="464"/>
      <c r="S1243" s="402">
        <f t="shared" si="339"/>
        <v>0</v>
      </c>
      <c r="T1243" s="404">
        <f t="shared" si="336"/>
        <v>0</v>
      </c>
      <c r="U1243" s="403"/>
      <c r="V1243" s="160" t="str">
        <f>IF(T1240&gt;0,"xx",IF(O1240&gt;0,"xy",""))</f>
        <v/>
      </c>
      <c r="W1243" s="43" t="str">
        <f t="shared" si="352"/>
        <v/>
      </c>
      <c r="X1243" s="43" t="str">
        <f t="shared" si="327"/>
        <v/>
      </c>
      <c r="Y1243" s="43" t="str">
        <f t="shared" si="344"/>
        <v/>
      </c>
    </row>
    <row r="1244" spans="1:25" hidden="1">
      <c r="A1244" s="155">
        <v>611200</v>
      </c>
      <c r="B1244" s="156" t="s">
        <v>242</v>
      </c>
      <c r="C1244" s="411" t="s">
        <v>499</v>
      </c>
      <c r="D1244" s="351"/>
      <c r="E1244" s="405"/>
      <c r="F1244" s="406"/>
      <c r="G1244" s="158">
        <f>SUM(G1245:G1247)</f>
        <v>23.421025</v>
      </c>
      <c r="H1244" s="465">
        <v>531.76</v>
      </c>
      <c r="I1244" s="465">
        <f>IF(ISBLANK(H1244),"",SUM(G1244:H1244))*0.9</f>
        <v>499.66292249999998</v>
      </c>
      <c r="J1244" s="407">
        <f t="shared" si="343"/>
        <v>633.57000000000005</v>
      </c>
      <c r="K1244" s="408" t="s">
        <v>20</v>
      </c>
      <c r="L1244" s="152">
        <v>0</v>
      </c>
      <c r="M1244" s="152"/>
      <c r="N1244" s="402">
        <f t="shared" si="337"/>
        <v>0</v>
      </c>
      <c r="O1244" s="402">
        <f t="shared" si="338"/>
        <v>0</v>
      </c>
      <c r="P1244" s="403"/>
      <c r="Q1244" s="152">
        <f t="shared" si="347"/>
        <v>0</v>
      </c>
      <c r="R1244" s="152">
        <f t="shared" si="347"/>
        <v>0</v>
      </c>
      <c r="S1244" s="402">
        <f t="shared" si="339"/>
        <v>0</v>
      </c>
      <c r="T1244" s="404">
        <f t="shared" si="336"/>
        <v>0</v>
      </c>
      <c r="U1244" s="403"/>
      <c r="W1244" s="43" t="str">
        <f t="shared" si="352"/>
        <v/>
      </c>
      <c r="X1244" s="43" t="str">
        <f t="shared" si="327"/>
        <v/>
      </c>
      <c r="Y1244" s="43" t="str">
        <f t="shared" si="344"/>
        <v/>
      </c>
    </row>
    <row r="1245" spans="1:25" hidden="1">
      <c r="A1245" s="155" t="s">
        <v>183</v>
      </c>
      <c r="B1245" s="156"/>
      <c r="C1245" s="411" t="s">
        <v>251</v>
      </c>
      <c r="D1245" s="351"/>
      <c r="E1245" s="405">
        <v>500</v>
      </c>
      <c r="F1245" s="406">
        <v>6.4999999999999997E-3</v>
      </c>
      <c r="G1245" s="158">
        <f>IF(E1245&lt;=30,(0.42*E1245+3.55)*F1245,((0.42*30+3.55)+0.35*(E1245-30))*F1245)</f>
        <v>1.1742250000000001</v>
      </c>
      <c r="H1245" s="465"/>
      <c r="I1245" s="465"/>
      <c r="J1245" s="407">
        <f t="shared" si="343"/>
        <v>0</v>
      </c>
      <c r="K1245" s="408"/>
      <c r="L1245" s="152">
        <v>0</v>
      </c>
      <c r="M1245" s="213"/>
      <c r="N1245" s="402">
        <f t="shared" si="337"/>
        <v>0</v>
      </c>
      <c r="O1245" s="402">
        <f t="shared" si="338"/>
        <v>0</v>
      </c>
      <c r="P1245" s="403"/>
      <c r="Q1245" s="464"/>
      <c r="R1245" s="464"/>
      <c r="S1245" s="402">
        <f t="shared" si="339"/>
        <v>0</v>
      </c>
      <c r="T1245" s="404">
        <f t="shared" si="336"/>
        <v>0</v>
      </c>
      <c r="U1245" s="403"/>
      <c r="V1245" s="160" t="str">
        <f>IF(T1244&gt;0,"xx",IF(O1244&gt;0,"xy",""))</f>
        <v/>
      </c>
      <c r="W1245" s="43" t="str">
        <f t="shared" si="352"/>
        <v/>
      </c>
      <c r="X1245" s="43" t="str">
        <f t="shared" si="327"/>
        <v/>
      </c>
      <c r="Y1245" s="43" t="str">
        <f t="shared" si="344"/>
        <v/>
      </c>
    </row>
    <row r="1246" spans="1:25" hidden="1">
      <c r="A1246" s="155" t="s">
        <v>183</v>
      </c>
      <c r="B1246" s="156"/>
      <c r="C1246" s="411" t="s">
        <v>314</v>
      </c>
      <c r="D1246" s="351"/>
      <c r="E1246" s="405">
        <v>180</v>
      </c>
      <c r="F1246" s="406">
        <v>3.3599999999999998E-2</v>
      </c>
      <c r="G1246" s="158">
        <f t="shared" ref="G1246:G1247" si="357">IF(E1246&lt;=30,(0.6*E1246+1.25)*F1246,((0.6*30+1.25)+0.5*(E1246-30))*F1246)</f>
        <v>3.1667999999999998</v>
      </c>
      <c r="H1246" s="465"/>
      <c r="I1246" s="465"/>
      <c r="J1246" s="407">
        <f t="shared" si="343"/>
        <v>0</v>
      </c>
      <c r="K1246" s="408"/>
      <c r="L1246" s="152">
        <v>0</v>
      </c>
      <c r="M1246" s="213"/>
      <c r="N1246" s="402">
        <f t="shared" si="337"/>
        <v>0</v>
      </c>
      <c r="O1246" s="402">
        <f t="shared" si="338"/>
        <v>0</v>
      </c>
      <c r="P1246" s="403"/>
      <c r="Q1246" s="464"/>
      <c r="R1246" s="464"/>
      <c r="S1246" s="402">
        <f t="shared" si="339"/>
        <v>0</v>
      </c>
      <c r="T1246" s="404">
        <f t="shared" si="336"/>
        <v>0</v>
      </c>
      <c r="U1246" s="403"/>
      <c r="V1246" s="160" t="str">
        <f>IF(T1244&gt;0,"xx",IF(O1244&gt;0,"xy",""))</f>
        <v/>
      </c>
      <c r="W1246" s="43" t="str">
        <f t="shared" si="352"/>
        <v/>
      </c>
      <c r="X1246" s="43" t="str">
        <f t="shared" si="327"/>
        <v/>
      </c>
      <c r="Y1246" s="43" t="str">
        <f t="shared" si="344"/>
        <v/>
      </c>
    </row>
    <row r="1247" spans="1:25" hidden="1">
      <c r="A1247" s="155" t="s">
        <v>183</v>
      </c>
      <c r="B1247" s="156"/>
      <c r="C1247" s="411" t="s">
        <v>458</v>
      </c>
      <c r="D1247" s="351"/>
      <c r="E1247" s="405">
        <v>20</v>
      </c>
      <c r="F1247" s="406">
        <v>1.44</v>
      </c>
      <c r="G1247" s="158">
        <f t="shared" si="357"/>
        <v>19.079999999999998</v>
      </c>
      <c r="H1247" s="465"/>
      <c r="I1247" s="465"/>
      <c r="J1247" s="407">
        <f t="shared" si="343"/>
        <v>0</v>
      </c>
      <c r="K1247" s="408"/>
      <c r="L1247" s="152">
        <v>0</v>
      </c>
      <c r="M1247" s="213"/>
      <c r="N1247" s="402">
        <f t="shared" si="337"/>
        <v>0</v>
      </c>
      <c r="O1247" s="402">
        <f t="shared" si="338"/>
        <v>0</v>
      </c>
      <c r="P1247" s="403"/>
      <c r="Q1247" s="464"/>
      <c r="R1247" s="464"/>
      <c r="S1247" s="402">
        <f t="shared" si="339"/>
        <v>0</v>
      </c>
      <c r="T1247" s="404">
        <f t="shared" si="336"/>
        <v>0</v>
      </c>
      <c r="U1247" s="403"/>
      <c r="V1247" s="160" t="str">
        <f>IF(T1244&gt;0,"xx",IF(O1244&gt;0,"xy",""))</f>
        <v/>
      </c>
      <c r="W1247" s="43" t="str">
        <f t="shared" si="352"/>
        <v/>
      </c>
      <c r="X1247" s="43" t="str">
        <f t="shared" si="327"/>
        <v/>
      </c>
      <c r="Y1247" s="43" t="str">
        <f t="shared" si="344"/>
        <v/>
      </c>
    </row>
    <row r="1248" spans="1:25" hidden="1">
      <c r="A1248" s="155">
        <v>611400</v>
      </c>
      <c r="B1248" s="156" t="s">
        <v>242</v>
      </c>
      <c r="C1248" s="411" t="s">
        <v>500</v>
      </c>
      <c r="D1248" s="351"/>
      <c r="E1248" s="405"/>
      <c r="F1248" s="406"/>
      <c r="G1248" s="158">
        <f>SUM(G1249:G1251)</f>
        <v>27.284264999999998</v>
      </c>
      <c r="H1248" s="465">
        <v>763.55</v>
      </c>
      <c r="I1248" s="465">
        <f>IF(ISBLANK(H1248),"",SUM(G1248:H1248))*0.9</f>
        <v>711.75083849999999</v>
      </c>
      <c r="J1248" s="407">
        <f t="shared" si="343"/>
        <v>902.5</v>
      </c>
      <c r="K1248" s="408" t="s">
        <v>20</v>
      </c>
      <c r="L1248" s="152">
        <v>0</v>
      </c>
      <c r="M1248" s="152"/>
      <c r="N1248" s="402">
        <f t="shared" si="337"/>
        <v>0</v>
      </c>
      <c r="O1248" s="402">
        <f t="shared" si="338"/>
        <v>0</v>
      </c>
      <c r="P1248" s="403"/>
      <c r="Q1248" s="152">
        <f t="shared" si="347"/>
        <v>0</v>
      </c>
      <c r="R1248" s="152">
        <f t="shared" si="347"/>
        <v>0</v>
      </c>
      <c r="S1248" s="402">
        <f t="shared" si="339"/>
        <v>0</v>
      </c>
      <c r="T1248" s="404">
        <f t="shared" si="336"/>
        <v>0</v>
      </c>
      <c r="U1248" s="403"/>
      <c r="W1248" s="43" t="str">
        <f t="shared" si="352"/>
        <v/>
      </c>
      <c r="X1248" s="43" t="str">
        <f t="shared" si="327"/>
        <v/>
      </c>
      <c r="Y1248" s="43" t="str">
        <f t="shared" si="344"/>
        <v/>
      </c>
    </row>
    <row r="1249" spans="1:25" hidden="1">
      <c r="A1249" s="155" t="s">
        <v>183</v>
      </c>
      <c r="B1249" s="156"/>
      <c r="C1249" s="411" t="s">
        <v>251</v>
      </c>
      <c r="D1249" s="351"/>
      <c r="E1249" s="405">
        <v>500</v>
      </c>
      <c r="F1249" s="406">
        <v>8.0999999999999996E-3</v>
      </c>
      <c r="G1249" s="158">
        <f>IF(E1249&lt;=30,(0.42*E1249+3.55)*F1249,((0.42*30+3.55)+0.35*(E1249-30))*F1249)</f>
        <v>1.463265</v>
      </c>
      <c r="H1249" s="465"/>
      <c r="I1249" s="465"/>
      <c r="J1249" s="407">
        <f t="shared" si="343"/>
        <v>0</v>
      </c>
      <c r="K1249" s="408"/>
      <c r="L1249" s="152">
        <v>0</v>
      </c>
      <c r="M1249" s="213"/>
      <c r="N1249" s="402">
        <f t="shared" si="337"/>
        <v>0</v>
      </c>
      <c r="O1249" s="402">
        <f t="shared" si="338"/>
        <v>0</v>
      </c>
      <c r="P1249" s="403"/>
      <c r="Q1249" s="464"/>
      <c r="R1249" s="464"/>
      <c r="S1249" s="402">
        <f t="shared" si="339"/>
        <v>0</v>
      </c>
      <c r="T1249" s="404">
        <f t="shared" si="336"/>
        <v>0</v>
      </c>
      <c r="U1249" s="403"/>
      <c r="V1249" s="160" t="str">
        <f>IF(T1248&gt;0,"xx",IF(O1248&gt;0,"xy",""))</f>
        <v/>
      </c>
      <c r="W1249" s="43" t="str">
        <f t="shared" si="352"/>
        <v/>
      </c>
      <c r="X1249" s="43" t="str">
        <f t="shared" si="327"/>
        <v/>
      </c>
      <c r="Y1249" s="43" t="str">
        <f t="shared" si="344"/>
        <v/>
      </c>
    </row>
    <row r="1250" spans="1:25" hidden="1">
      <c r="A1250" s="155" t="s">
        <v>183</v>
      </c>
      <c r="B1250" s="156"/>
      <c r="C1250" s="411" t="s">
        <v>314</v>
      </c>
      <c r="D1250" s="351"/>
      <c r="E1250" s="405">
        <v>180</v>
      </c>
      <c r="F1250" s="406">
        <v>4.2000000000000003E-2</v>
      </c>
      <c r="G1250" s="158">
        <f t="shared" ref="G1250:G1251" si="358">IF(E1250&lt;=30,(0.6*E1250+1.25)*F1250,((0.6*30+1.25)+0.5*(E1250-30))*F1250)</f>
        <v>3.9585000000000004</v>
      </c>
      <c r="H1250" s="465"/>
      <c r="I1250" s="465"/>
      <c r="J1250" s="407">
        <f t="shared" si="343"/>
        <v>0</v>
      </c>
      <c r="K1250" s="408"/>
      <c r="L1250" s="152">
        <v>0</v>
      </c>
      <c r="M1250" s="213"/>
      <c r="N1250" s="402">
        <f t="shared" si="337"/>
        <v>0</v>
      </c>
      <c r="O1250" s="402">
        <f t="shared" si="338"/>
        <v>0</v>
      </c>
      <c r="P1250" s="403"/>
      <c r="Q1250" s="464"/>
      <c r="R1250" s="464"/>
      <c r="S1250" s="402">
        <f t="shared" si="339"/>
        <v>0</v>
      </c>
      <c r="T1250" s="404">
        <f t="shared" si="336"/>
        <v>0</v>
      </c>
      <c r="U1250" s="403"/>
      <c r="V1250" s="160" t="str">
        <f>IF(T1248&gt;0,"xx",IF(O1248&gt;0,"xy",""))</f>
        <v/>
      </c>
      <c r="W1250" s="43" t="str">
        <f t="shared" si="352"/>
        <v/>
      </c>
      <c r="X1250" s="43" t="str">
        <f t="shared" si="327"/>
        <v/>
      </c>
      <c r="Y1250" s="43" t="str">
        <f t="shared" si="344"/>
        <v/>
      </c>
    </row>
    <row r="1251" spans="1:25" hidden="1">
      <c r="A1251" s="155" t="s">
        <v>183</v>
      </c>
      <c r="B1251" s="156"/>
      <c r="C1251" s="411" t="s">
        <v>458</v>
      </c>
      <c r="D1251" s="351"/>
      <c r="E1251" s="405">
        <v>20</v>
      </c>
      <c r="F1251" s="406">
        <v>1.65</v>
      </c>
      <c r="G1251" s="158">
        <f t="shared" si="358"/>
        <v>21.862499999999997</v>
      </c>
      <c r="H1251" s="465"/>
      <c r="I1251" s="465"/>
      <c r="J1251" s="407">
        <f t="shared" si="343"/>
        <v>0</v>
      </c>
      <c r="K1251" s="408"/>
      <c r="L1251" s="152">
        <v>0</v>
      </c>
      <c r="M1251" s="213"/>
      <c r="N1251" s="402">
        <f t="shared" si="337"/>
        <v>0</v>
      </c>
      <c r="O1251" s="402">
        <f t="shared" si="338"/>
        <v>0</v>
      </c>
      <c r="P1251" s="403"/>
      <c r="Q1251" s="464"/>
      <c r="R1251" s="464"/>
      <c r="S1251" s="402">
        <f t="shared" si="339"/>
        <v>0</v>
      </c>
      <c r="T1251" s="404">
        <f t="shared" si="336"/>
        <v>0</v>
      </c>
      <c r="U1251" s="403"/>
      <c r="V1251" s="160" t="str">
        <f>IF(T1248&gt;0,"xx",IF(O1248&gt;0,"xy",""))</f>
        <v/>
      </c>
      <c r="W1251" s="43" t="str">
        <f t="shared" si="352"/>
        <v/>
      </c>
      <c r="X1251" s="43" t="str">
        <f t="shared" si="327"/>
        <v/>
      </c>
      <c r="Y1251" s="43" t="str">
        <f t="shared" si="344"/>
        <v/>
      </c>
    </row>
    <row r="1252" spans="1:25" hidden="1">
      <c r="A1252" s="155" t="s">
        <v>154</v>
      </c>
      <c r="B1252" s="156" t="s">
        <v>242</v>
      </c>
      <c r="C1252" s="411" t="s">
        <v>501</v>
      </c>
      <c r="D1252" s="351"/>
      <c r="E1252" s="405"/>
      <c r="F1252" s="406"/>
      <c r="G1252" s="158">
        <f>SUM(G1253:G1255)</f>
        <v>32.924329999999998</v>
      </c>
      <c r="H1252" s="465">
        <v>1146.0267999999999</v>
      </c>
      <c r="I1252" s="465">
        <f>IF(ISBLANK(H1252),"",SUM(G1252:H1252))*0.9</f>
        <v>1061.0560169999999</v>
      </c>
      <c r="J1252" s="407">
        <f t="shared" si="343"/>
        <v>1345.42</v>
      </c>
      <c r="K1252" s="408" t="s">
        <v>20</v>
      </c>
      <c r="L1252" s="152">
        <v>0</v>
      </c>
      <c r="M1252" s="152"/>
      <c r="N1252" s="402">
        <f t="shared" si="337"/>
        <v>0</v>
      </c>
      <c r="O1252" s="402">
        <f t="shared" si="338"/>
        <v>0</v>
      </c>
      <c r="P1252" s="403"/>
      <c r="Q1252" s="152">
        <f t="shared" si="347"/>
        <v>0</v>
      </c>
      <c r="R1252" s="152">
        <f t="shared" si="347"/>
        <v>0</v>
      </c>
      <c r="S1252" s="402">
        <f t="shared" si="339"/>
        <v>0</v>
      </c>
      <c r="T1252" s="404">
        <f t="shared" si="336"/>
        <v>0</v>
      </c>
      <c r="U1252" s="403"/>
      <c r="W1252" s="43" t="str">
        <f t="shared" si="352"/>
        <v/>
      </c>
      <c r="X1252" s="43" t="str">
        <f t="shared" ref="X1252:X1337" si="359">IF(V1252="X","x",IF(V1252="y","x",IF(V1252="xx","x",IF(T1252&gt;0,"x",""))))</f>
        <v/>
      </c>
      <c r="Y1252" s="43" t="str">
        <f t="shared" si="344"/>
        <v/>
      </c>
    </row>
    <row r="1253" spans="1:25" hidden="1">
      <c r="A1253" s="155" t="s">
        <v>183</v>
      </c>
      <c r="B1253" s="156"/>
      <c r="C1253" s="411" t="s">
        <v>251</v>
      </c>
      <c r="D1253" s="351"/>
      <c r="E1253" s="405">
        <v>500</v>
      </c>
      <c r="F1253" s="406">
        <v>9.1999999999999998E-3</v>
      </c>
      <c r="G1253" s="158">
        <f>IF(E1253&lt;=30,(0.42*E1253+3.55)*F1253,((0.42*30+3.55)+0.35*(E1253-30))*F1253)</f>
        <v>1.66198</v>
      </c>
      <c r="H1253" s="465"/>
      <c r="I1253" s="465"/>
      <c r="J1253" s="407">
        <f t="shared" si="343"/>
        <v>0</v>
      </c>
      <c r="K1253" s="408"/>
      <c r="L1253" s="152">
        <v>0</v>
      </c>
      <c r="M1253" s="213"/>
      <c r="N1253" s="402">
        <f t="shared" si="337"/>
        <v>0</v>
      </c>
      <c r="O1253" s="402">
        <f t="shared" si="338"/>
        <v>0</v>
      </c>
      <c r="P1253" s="403"/>
      <c r="Q1253" s="464"/>
      <c r="R1253" s="464"/>
      <c r="S1253" s="402">
        <f t="shared" si="339"/>
        <v>0</v>
      </c>
      <c r="T1253" s="404">
        <f t="shared" si="336"/>
        <v>0</v>
      </c>
      <c r="U1253" s="403"/>
      <c r="V1253" s="160" t="str">
        <f>IF(T1252&gt;0,"xx",IF(O1252&gt;0,"xy",""))</f>
        <v/>
      </c>
      <c r="W1253" s="43" t="str">
        <f t="shared" si="352"/>
        <v/>
      </c>
      <c r="X1253" s="43" t="str">
        <f t="shared" si="359"/>
        <v/>
      </c>
      <c r="Y1253" s="43" t="str">
        <f t="shared" si="344"/>
        <v/>
      </c>
    </row>
    <row r="1254" spans="1:25" hidden="1">
      <c r="A1254" s="155" t="s">
        <v>183</v>
      </c>
      <c r="B1254" s="156"/>
      <c r="C1254" s="411" t="s">
        <v>314</v>
      </c>
      <c r="D1254" s="351"/>
      <c r="E1254" s="405">
        <v>180</v>
      </c>
      <c r="F1254" s="406">
        <v>4.7899999999999998E-2</v>
      </c>
      <c r="G1254" s="158">
        <f t="shared" ref="G1254:G1255" si="360">IF(E1254&lt;=30,(0.6*E1254+1.25)*F1254,((0.6*30+1.25)+0.5*(E1254-30))*F1254)</f>
        <v>4.5145749999999998</v>
      </c>
      <c r="H1254" s="465"/>
      <c r="I1254" s="465"/>
      <c r="J1254" s="407">
        <f t="shared" si="343"/>
        <v>0</v>
      </c>
      <c r="K1254" s="408"/>
      <c r="L1254" s="152">
        <v>0</v>
      </c>
      <c r="M1254" s="213"/>
      <c r="N1254" s="402">
        <f t="shared" si="337"/>
        <v>0</v>
      </c>
      <c r="O1254" s="402">
        <f t="shared" si="338"/>
        <v>0</v>
      </c>
      <c r="P1254" s="403"/>
      <c r="Q1254" s="464"/>
      <c r="R1254" s="464"/>
      <c r="S1254" s="402">
        <f t="shared" si="339"/>
        <v>0</v>
      </c>
      <c r="T1254" s="404">
        <f t="shared" si="336"/>
        <v>0</v>
      </c>
      <c r="U1254" s="403"/>
      <c r="V1254" s="160" t="str">
        <f>IF(T1252&gt;0,"xx",IF(O1252&gt;0,"xy",""))</f>
        <v/>
      </c>
      <c r="W1254" s="43" t="str">
        <f t="shared" si="352"/>
        <v/>
      </c>
      <c r="X1254" s="43" t="str">
        <f t="shared" si="359"/>
        <v/>
      </c>
      <c r="Y1254" s="43" t="str">
        <f t="shared" si="344"/>
        <v/>
      </c>
    </row>
    <row r="1255" spans="1:25" hidden="1">
      <c r="A1255" s="155" t="s">
        <v>183</v>
      </c>
      <c r="B1255" s="156"/>
      <c r="C1255" s="411" t="s">
        <v>458</v>
      </c>
      <c r="D1255" s="351"/>
      <c r="E1255" s="405">
        <v>20</v>
      </c>
      <c r="F1255" s="406">
        <v>2.0186999999999999</v>
      </c>
      <c r="G1255" s="158">
        <f t="shared" si="360"/>
        <v>26.747775000000001</v>
      </c>
      <c r="H1255" s="465"/>
      <c r="I1255" s="465"/>
      <c r="J1255" s="407">
        <f t="shared" si="343"/>
        <v>0</v>
      </c>
      <c r="K1255" s="408"/>
      <c r="L1255" s="152">
        <v>0</v>
      </c>
      <c r="M1255" s="213"/>
      <c r="N1255" s="402">
        <f t="shared" si="337"/>
        <v>0</v>
      </c>
      <c r="O1255" s="402">
        <f t="shared" si="338"/>
        <v>0</v>
      </c>
      <c r="P1255" s="403"/>
      <c r="Q1255" s="464"/>
      <c r="R1255" s="464"/>
      <c r="S1255" s="402">
        <f t="shared" si="339"/>
        <v>0</v>
      </c>
      <c r="T1255" s="404">
        <f t="shared" si="336"/>
        <v>0</v>
      </c>
      <c r="U1255" s="403"/>
      <c r="V1255" s="160" t="str">
        <f>IF(T1252&gt;0,"xx",IF(O1252&gt;0,"xy",""))</f>
        <v/>
      </c>
      <c r="W1255" s="43" t="str">
        <f t="shared" si="352"/>
        <v/>
      </c>
      <c r="X1255" s="43" t="str">
        <f t="shared" si="359"/>
        <v/>
      </c>
      <c r="Y1255" s="43" t="str">
        <f t="shared" si="344"/>
        <v/>
      </c>
    </row>
    <row r="1256" spans="1:25" hidden="1">
      <c r="A1256" s="155">
        <v>611600</v>
      </c>
      <c r="B1256" s="156" t="s">
        <v>242</v>
      </c>
      <c r="C1256" s="411" t="s">
        <v>502</v>
      </c>
      <c r="D1256" s="351"/>
      <c r="E1256" s="405"/>
      <c r="F1256" s="406"/>
      <c r="G1256" s="158">
        <f>SUM(G1257:G1259)</f>
        <v>34.990004999999996</v>
      </c>
      <c r="H1256" s="465">
        <v>1958.79</v>
      </c>
      <c r="I1256" s="465">
        <f>IF(ISBLANK(H1256),"",SUM(G1256:H1256))*0.9</f>
        <v>1794.4020045000002</v>
      </c>
      <c r="J1256" s="407">
        <f t="shared" si="343"/>
        <v>2275.3000000000002</v>
      </c>
      <c r="K1256" s="408" t="s">
        <v>20</v>
      </c>
      <c r="L1256" s="152">
        <v>0</v>
      </c>
      <c r="M1256" s="152"/>
      <c r="N1256" s="402">
        <f t="shared" si="337"/>
        <v>0</v>
      </c>
      <c r="O1256" s="402">
        <f t="shared" si="338"/>
        <v>0</v>
      </c>
      <c r="P1256" s="403"/>
      <c r="Q1256" s="152">
        <f t="shared" si="347"/>
        <v>0</v>
      </c>
      <c r="R1256" s="152">
        <f t="shared" si="347"/>
        <v>0</v>
      </c>
      <c r="S1256" s="402">
        <f t="shared" si="339"/>
        <v>0</v>
      </c>
      <c r="T1256" s="404">
        <f t="shared" si="336"/>
        <v>0</v>
      </c>
      <c r="U1256" s="403"/>
      <c r="W1256" s="43" t="str">
        <f t="shared" si="352"/>
        <v/>
      </c>
      <c r="X1256" s="43" t="str">
        <f t="shared" si="359"/>
        <v/>
      </c>
      <c r="Y1256" s="43" t="str">
        <f t="shared" si="344"/>
        <v/>
      </c>
    </row>
    <row r="1257" spans="1:25" hidden="1">
      <c r="A1257" s="155" t="s">
        <v>183</v>
      </c>
      <c r="B1257" s="156"/>
      <c r="C1257" s="411" t="s">
        <v>251</v>
      </c>
      <c r="D1257" s="351"/>
      <c r="E1257" s="405">
        <v>500</v>
      </c>
      <c r="F1257" s="406">
        <v>9.7000000000000003E-3</v>
      </c>
      <c r="G1257" s="158">
        <f>IF(E1257&lt;=30,(0.42*E1257+3.55)*F1257,((0.42*30+3.55)+0.35*(E1257-30))*F1257)</f>
        <v>1.752305</v>
      </c>
      <c r="H1257" s="465"/>
      <c r="I1257" s="465"/>
      <c r="J1257" s="407">
        <f t="shared" si="343"/>
        <v>0</v>
      </c>
      <c r="K1257" s="408"/>
      <c r="L1257" s="152">
        <v>0</v>
      </c>
      <c r="M1257" s="213"/>
      <c r="N1257" s="402">
        <f t="shared" si="337"/>
        <v>0</v>
      </c>
      <c r="O1257" s="402">
        <f t="shared" si="338"/>
        <v>0</v>
      </c>
      <c r="P1257" s="403"/>
      <c r="Q1257" s="464"/>
      <c r="R1257" s="464"/>
      <c r="S1257" s="402">
        <f t="shared" si="339"/>
        <v>0</v>
      </c>
      <c r="T1257" s="404">
        <f t="shared" si="336"/>
        <v>0</v>
      </c>
      <c r="U1257" s="403"/>
      <c r="V1257" s="160" t="str">
        <f>IF(T1256&gt;0,"xx",IF(O1256&gt;0,"xy",""))</f>
        <v/>
      </c>
      <c r="W1257" s="43" t="str">
        <f t="shared" si="352"/>
        <v/>
      </c>
      <c r="X1257" s="43" t="str">
        <f t="shared" si="359"/>
        <v/>
      </c>
      <c r="Y1257" s="43" t="str">
        <f t="shared" si="344"/>
        <v/>
      </c>
    </row>
    <row r="1258" spans="1:25" hidden="1">
      <c r="A1258" s="155" t="s">
        <v>183</v>
      </c>
      <c r="B1258" s="156"/>
      <c r="C1258" s="411" t="s">
        <v>314</v>
      </c>
      <c r="D1258" s="351"/>
      <c r="E1258" s="405">
        <v>180</v>
      </c>
      <c r="F1258" s="406">
        <v>5.04E-2</v>
      </c>
      <c r="G1258" s="158">
        <f t="shared" ref="G1258:G1259" si="361">IF(E1258&lt;=30,(0.6*E1258+1.25)*F1258,((0.6*30+1.25)+0.5*(E1258-30))*F1258)</f>
        <v>4.7502000000000004</v>
      </c>
      <c r="H1258" s="465"/>
      <c r="I1258" s="465"/>
      <c r="J1258" s="407">
        <f t="shared" si="343"/>
        <v>0</v>
      </c>
      <c r="K1258" s="408"/>
      <c r="L1258" s="152">
        <v>0</v>
      </c>
      <c r="M1258" s="213"/>
      <c r="N1258" s="402">
        <f t="shared" si="337"/>
        <v>0</v>
      </c>
      <c r="O1258" s="402">
        <f t="shared" si="338"/>
        <v>0</v>
      </c>
      <c r="P1258" s="403"/>
      <c r="Q1258" s="464"/>
      <c r="R1258" s="464"/>
      <c r="S1258" s="402">
        <f t="shared" si="339"/>
        <v>0</v>
      </c>
      <c r="T1258" s="404">
        <f t="shared" ref="T1258:T1340" si="362">IF(ISBLANK(Q1258),0,ROUND(Q1258*R1258,2))</f>
        <v>0</v>
      </c>
      <c r="U1258" s="403"/>
      <c r="V1258" s="160" t="str">
        <f>IF(T1256&gt;0,"xx",IF(O1256&gt;0,"xy",""))</f>
        <v/>
      </c>
      <c r="W1258" s="43" t="str">
        <f t="shared" si="352"/>
        <v/>
      </c>
      <c r="X1258" s="43" t="str">
        <f t="shared" si="359"/>
        <v/>
      </c>
      <c r="Y1258" s="43" t="str">
        <f t="shared" si="344"/>
        <v/>
      </c>
    </row>
    <row r="1259" spans="1:25" hidden="1">
      <c r="A1259" s="155" t="s">
        <v>183</v>
      </c>
      <c r="B1259" s="156"/>
      <c r="C1259" s="411" t="s">
        <v>458</v>
      </c>
      <c r="D1259" s="351"/>
      <c r="E1259" s="405">
        <v>20</v>
      </c>
      <c r="F1259" s="406">
        <v>2.15</v>
      </c>
      <c r="G1259" s="158">
        <f t="shared" si="361"/>
        <v>28.487499999999997</v>
      </c>
      <c r="H1259" s="465"/>
      <c r="I1259" s="465"/>
      <c r="J1259" s="407">
        <f t="shared" si="343"/>
        <v>0</v>
      </c>
      <c r="K1259" s="408"/>
      <c r="L1259" s="152">
        <v>0</v>
      </c>
      <c r="M1259" s="213"/>
      <c r="N1259" s="402">
        <f t="shared" ref="N1259:N1344" si="363">IF(ISBLANK(L1259),0,ROUND(J1259*L1259,2))</f>
        <v>0</v>
      </c>
      <c r="O1259" s="402">
        <f t="shared" ref="O1259:O1344" si="364">IF(ISBLANK(M1259),0,ROUND(L1259*M1259,2))</f>
        <v>0</v>
      </c>
      <c r="P1259" s="403"/>
      <c r="Q1259" s="464"/>
      <c r="R1259" s="464"/>
      <c r="S1259" s="402">
        <f t="shared" ref="S1259:S1344" si="365">IF(ISBLANK(Q1259),0,ROUND(J1259*Q1259,2))</f>
        <v>0</v>
      </c>
      <c r="T1259" s="404">
        <f t="shared" si="362"/>
        <v>0</v>
      </c>
      <c r="U1259" s="403"/>
      <c r="V1259" s="160" t="str">
        <f>IF(T1256&gt;0,"xx",IF(O1256&gt;0,"xy",""))</f>
        <v/>
      </c>
      <c r="W1259" s="43" t="str">
        <f t="shared" si="352"/>
        <v/>
      </c>
      <c r="X1259" s="43" t="str">
        <f t="shared" si="359"/>
        <v/>
      </c>
      <c r="Y1259" s="43" t="str">
        <f t="shared" si="344"/>
        <v/>
      </c>
    </row>
    <row r="1260" spans="1:25" hidden="1">
      <c r="A1260" s="155">
        <v>610500</v>
      </c>
      <c r="B1260" s="156" t="s">
        <v>242</v>
      </c>
      <c r="C1260" s="411" t="s">
        <v>503</v>
      </c>
      <c r="D1260" s="351"/>
      <c r="E1260" s="405"/>
      <c r="F1260" s="406"/>
      <c r="G1260" s="158">
        <f>SUM(G1261:G1264)</f>
        <v>15.235190000000001</v>
      </c>
      <c r="H1260" s="465">
        <v>173.99</v>
      </c>
      <c r="I1260" s="465">
        <f>IF(ISBLANK(H1260),"",SUM(G1260:H1260))*0.9</f>
        <v>170.302671</v>
      </c>
      <c r="J1260" s="407">
        <f t="shared" si="343"/>
        <v>215.94</v>
      </c>
      <c r="K1260" s="408" t="s">
        <v>20</v>
      </c>
      <c r="L1260" s="152">
        <v>0</v>
      </c>
      <c r="M1260" s="152"/>
      <c r="N1260" s="402">
        <f t="shared" si="363"/>
        <v>0</v>
      </c>
      <c r="O1260" s="402">
        <f t="shared" si="364"/>
        <v>0</v>
      </c>
      <c r="P1260" s="403"/>
      <c r="Q1260" s="152">
        <f t="shared" si="347"/>
        <v>0</v>
      </c>
      <c r="R1260" s="152">
        <f t="shared" si="347"/>
        <v>0</v>
      </c>
      <c r="S1260" s="402">
        <f t="shared" si="365"/>
        <v>0</v>
      </c>
      <c r="T1260" s="404">
        <f t="shared" si="362"/>
        <v>0</v>
      </c>
      <c r="U1260" s="403"/>
      <c r="W1260" s="43" t="str">
        <f t="shared" si="352"/>
        <v/>
      </c>
      <c r="X1260" s="43" t="str">
        <f t="shared" si="359"/>
        <v/>
      </c>
      <c r="Y1260" s="43" t="str">
        <f t="shared" si="344"/>
        <v/>
      </c>
    </row>
    <row r="1261" spans="1:25" hidden="1">
      <c r="A1261" s="155" t="s">
        <v>183</v>
      </c>
      <c r="B1261" s="156"/>
      <c r="C1261" s="411" t="s">
        <v>251</v>
      </c>
      <c r="D1261" s="351"/>
      <c r="E1261" s="405">
        <v>500</v>
      </c>
      <c r="F1261" s="406">
        <v>2.2599999999999999E-2</v>
      </c>
      <c r="G1261" s="158">
        <f>IF(E1261&lt;=30,(0.42*E1261+3.55)*F1261,((0.42*30+3.55)+0.35*(E1261-30))*F1261)</f>
        <v>4.0826899999999995</v>
      </c>
      <c r="H1261" s="465"/>
      <c r="I1261" s="465"/>
      <c r="J1261" s="407">
        <f t="shared" si="343"/>
        <v>0</v>
      </c>
      <c r="K1261" s="408"/>
      <c r="L1261" s="152">
        <v>0</v>
      </c>
      <c r="M1261" s="213"/>
      <c r="N1261" s="402">
        <f t="shared" si="363"/>
        <v>0</v>
      </c>
      <c r="O1261" s="402">
        <f t="shared" si="364"/>
        <v>0</v>
      </c>
      <c r="P1261" s="403"/>
      <c r="Q1261" s="464"/>
      <c r="R1261" s="464"/>
      <c r="S1261" s="402">
        <f t="shared" si="365"/>
        <v>0</v>
      </c>
      <c r="T1261" s="404">
        <f t="shared" si="362"/>
        <v>0</v>
      </c>
      <c r="U1261" s="403"/>
      <c r="V1261" s="160" t="str">
        <f>IF(T1260&gt;0,"xx",IF(O1260&gt;0,"xy",""))</f>
        <v/>
      </c>
      <c r="W1261" s="43" t="str">
        <f t="shared" si="352"/>
        <v/>
      </c>
      <c r="X1261" s="43" t="str">
        <f t="shared" si="359"/>
        <v/>
      </c>
      <c r="Y1261" s="43" t="str">
        <f t="shared" si="344"/>
        <v/>
      </c>
    </row>
    <row r="1262" spans="1:25" hidden="1">
      <c r="A1262" s="155" t="s">
        <v>183</v>
      </c>
      <c r="B1262" s="156"/>
      <c r="C1262" s="411" t="s">
        <v>314</v>
      </c>
      <c r="D1262" s="351"/>
      <c r="E1262" s="405">
        <v>180</v>
      </c>
      <c r="F1262" s="406">
        <v>8.3900000000000002E-2</v>
      </c>
      <c r="G1262" s="158">
        <f t="shared" ref="G1262:G1264" si="366">IF(E1262&lt;=30,(0.6*E1262+1.25)*F1262,((0.6*30+1.25)+0.5*(E1262-30))*F1262)</f>
        <v>7.9075750000000005</v>
      </c>
      <c r="H1262" s="465"/>
      <c r="I1262" s="465"/>
      <c r="J1262" s="407">
        <f t="shared" si="343"/>
        <v>0</v>
      </c>
      <c r="K1262" s="408"/>
      <c r="L1262" s="152">
        <v>0</v>
      </c>
      <c r="M1262" s="213"/>
      <c r="N1262" s="402">
        <f t="shared" si="363"/>
        <v>0</v>
      </c>
      <c r="O1262" s="402">
        <f t="shared" si="364"/>
        <v>0</v>
      </c>
      <c r="P1262" s="403"/>
      <c r="Q1262" s="464"/>
      <c r="R1262" s="464"/>
      <c r="S1262" s="402">
        <f t="shared" si="365"/>
        <v>0</v>
      </c>
      <c r="T1262" s="404">
        <f t="shared" si="362"/>
        <v>0</v>
      </c>
      <c r="U1262" s="403"/>
      <c r="V1262" s="160" t="str">
        <f>IF(T1260&gt;0,"xx",IF(O1260&gt;0,"xy",""))</f>
        <v/>
      </c>
      <c r="W1262" s="43" t="str">
        <f t="shared" si="352"/>
        <v/>
      </c>
      <c r="X1262" s="43" t="str">
        <f t="shared" si="359"/>
        <v/>
      </c>
      <c r="Y1262" s="43" t="str">
        <f t="shared" si="344"/>
        <v/>
      </c>
    </row>
    <row r="1263" spans="1:25" hidden="1">
      <c r="A1263" s="155" t="s">
        <v>183</v>
      </c>
      <c r="B1263" s="156"/>
      <c r="C1263" s="411" t="s">
        <v>323</v>
      </c>
      <c r="D1263" s="351"/>
      <c r="E1263" s="405">
        <v>20</v>
      </c>
      <c r="F1263" s="406">
        <v>0.13490000000000002</v>
      </c>
      <c r="G1263" s="158">
        <f t="shared" si="366"/>
        <v>1.7874250000000003</v>
      </c>
      <c r="H1263" s="465"/>
      <c r="I1263" s="465"/>
      <c r="J1263" s="407">
        <f t="shared" si="343"/>
        <v>0</v>
      </c>
      <c r="K1263" s="408"/>
      <c r="L1263" s="152">
        <v>0</v>
      </c>
      <c r="M1263" s="213"/>
      <c r="N1263" s="402">
        <f t="shared" si="363"/>
        <v>0</v>
      </c>
      <c r="O1263" s="402">
        <f t="shared" si="364"/>
        <v>0</v>
      </c>
      <c r="P1263" s="403"/>
      <c r="Q1263" s="464"/>
      <c r="R1263" s="464"/>
      <c r="S1263" s="402">
        <f t="shared" si="365"/>
        <v>0</v>
      </c>
      <c r="T1263" s="404">
        <f t="shared" si="362"/>
        <v>0</v>
      </c>
      <c r="U1263" s="403"/>
      <c r="V1263" s="160" t="str">
        <f>IF(T1260&gt;0,"xx",IF(O1260&gt;0,"xy",""))</f>
        <v/>
      </c>
      <c r="W1263" s="43" t="str">
        <f t="shared" si="352"/>
        <v/>
      </c>
      <c r="X1263" s="43" t="str">
        <f t="shared" si="359"/>
        <v/>
      </c>
      <c r="Y1263" s="43" t="str">
        <f t="shared" si="344"/>
        <v/>
      </c>
    </row>
    <row r="1264" spans="1:25" hidden="1">
      <c r="A1264" s="155" t="s">
        <v>183</v>
      </c>
      <c r="B1264" s="156"/>
      <c r="C1264" s="411" t="s">
        <v>458</v>
      </c>
      <c r="D1264" s="351"/>
      <c r="E1264" s="405">
        <v>20</v>
      </c>
      <c r="F1264" s="406">
        <v>0.11</v>
      </c>
      <c r="G1264" s="158">
        <f t="shared" si="366"/>
        <v>1.4575</v>
      </c>
      <c r="H1264" s="465"/>
      <c r="I1264" s="465"/>
      <c r="J1264" s="407">
        <f t="shared" si="343"/>
        <v>0</v>
      </c>
      <c r="K1264" s="408"/>
      <c r="L1264" s="152">
        <v>0</v>
      </c>
      <c r="M1264" s="213"/>
      <c r="N1264" s="402">
        <f t="shared" si="363"/>
        <v>0</v>
      </c>
      <c r="O1264" s="402">
        <f t="shared" si="364"/>
        <v>0</v>
      </c>
      <c r="P1264" s="403"/>
      <c r="Q1264" s="464"/>
      <c r="R1264" s="464"/>
      <c r="S1264" s="402">
        <f t="shared" si="365"/>
        <v>0</v>
      </c>
      <c r="T1264" s="404">
        <f t="shared" si="362"/>
        <v>0</v>
      </c>
      <c r="U1264" s="403"/>
      <c r="V1264" s="160" t="str">
        <f>IF(T1260&gt;0,"xx",IF(O1260&gt;0,"xy",""))</f>
        <v/>
      </c>
      <c r="W1264" s="43" t="str">
        <f t="shared" si="352"/>
        <v/>
      </c>
      <c r="X1264" s="43" t="str">
        <f t="shared" si="359"/>
        <v/>
      </c>
      <c r="Y1264" s="43" t="str">
        <f t="shared" si="344"/>
        <v/>
      </c>
    </row>
    <row r="1265" spans="1:25" hidden="1">
      <c r="A1265" s="155" t="s">
        <v>987</v>
      </c>
      <c r="B1265" s="156" t="s">
        <v>242</v>
      </c>
      <c r="C1265" s="411" t="s">
        <v>988</v>
      </c>
      <c r="D1265" s="351"/>
      <c r="E1265" s="405"/>
      <c r="F1265" s="406"/>
      <c r="G1265" s="158">
        <f>SUM(G1266:G1269)</f>
        <v>20.680115000000001</v>
      </c>
      <c r="H1265" s="465">
        <v>212.245</v>
      </c>
      <c r="I1265" s="465">
        <f>IF(ISBLANK(H1265),"",SUM(G1265:H1265))</f>
        <v>232.92511500000001</v>
      </c>
      <c r="J1265" s="407">
        <f t="shared" si="343"/>
        <v>295.35000000000002</v>
      </c>
      <c r="K1265" s="408" t="s">
        <v>20</v>
      </c>
      <c r="L1265" s="152">
        <v>0</v>
      </c>
      <c r="M1265" s="152"/>
      <c r="N1265" s="402">
        <f t="shared" si="363"/>
        <v>0</v>
      </c>
      <c r="O1265" s="402">
        <f t="shared" si="364"/>
        <v>0</v>
      </c>
      <c r="P1265" s="403"/>
      <c r="Q1265" s="152">
        <f t="shared" si="347"/>
        <v>0</v>
      </c>
      <c r="R1265" s="152">
        <f t="shared" si="347"/>
        <v>0</v>
      </c>
      <c r="S1265" s="402">
        <f t="shared" si="365"/>
        <v>0</v>
      </c>
      <c r="T1265" s="404">
        <f t="shared" si="362"/>
        <v>0</v>
      </c>
      <c r="U1265" s="403"/>
      <c r="W1265" s="43" t="str">
        <f t="shared" si="352"/>
        <v/>
      </c>
      <c r="X1265" s="43" t="str">
        <f t="shared" si="359"/>
        <v/>
      </c>
      <c r="Y1265" s="43" t="str">
        <f t="shared" si="344"/>
        <v/>
      </c>
    </row>
    <row r="1266" spans="1:25" hidden="1">
      <c r="A1266" s="155" t="s">
        <v>183</v>
      </c>
      <c r="B1266" s="156"/>
      <c r="C1266" s="411" t="s">
        <v>251</v>
      </c>
      <c r="D1266" s="351"/>
      <c r="E1266" s="405">
        <v>500</v>
      </c>
      <c r="F1266" s="406">
        <v>2.86E-2</v>
      </c>
      <c r="G1266" s="158">
        <f>IF(E1266&lt;=30,(0.42*E1266+3.55)*F1266,((0.42*30+3.55)+0.35*(E1266-30))*F1266)</f>
        <v>5.1665900000000002</v>
      </c>
      <c r="H1266" s="465"/>
      <c r="I1266" s="465"/>
      <c r="J1266" s="407">
        <f t="shared" ref="J1266:J1329" si="367">IF(ISBLANK(H1266),0,ROUND(I1266*(1+$E$10)*(1+$E$11*D1266),2))</f>
        <v>0</v>
      </c>
      <c r="K1266" s="408"/>
      <c r="L1266" s="152">
        <v>0</v>
      </c>
      <c r="M1266" s="213"/>
      <c r="N1266" s="402">
        <f t="shared" si="363"/>
        <v>0</v>
      </c>
      <c r="O1266" s="402">
        <f t="shared" si="364"/>
        <v>0</v>
      </c>
      <c r="P1266" s="403"/>
      <c r="Q1266" s="464"/>
      <c r="R1266" s="464"/>
      <c r="S1266" s="402">
        <f t="shared" si="365"/>
        <v>0</v>
      </c>
      <c r="T1266" s="404">
        <f t="shared" si="362"/>
        <v>0</v>
      </c>
      <c r="U1266" s="403"/>
      <c r="V1266" s="160" t="str">
        <f>IF(T1265&gt;0,"xx",IF(O1265&gt;0,"xy",""))</f>
        <v/>
      </c>
      <c r="W1266" s="43" t="str">
        <f t="shared" si="352"/>
        <v/>
      </c>
      <c r="X1266" s="43" t="str">
        <f t="shared" si="359"/>
        <v/>
      </c>
      <c r="Y1266" s="43" t="str">
        <f t="shared" si="344"/>
        <v/>
      </c>
    </row>
    <row r="1267" spans="1:25" hidden="1">
      <c r="A1267" s="155" t="s">
        <v>183</v>
      </c>
      <c r="B1267" s="156"/>
      <c r="C1267" s="411" t="s">
        <v>314</v>
      </c>
      <c r="D1267" s="351"/>
      <c r="E1267" s="405">
        <v>180</v>
      </c>
      <c r="F1267" s="406">
        <v>0.10539999999999999</v>
      </c>
      <c r="G1267" s="158">
        <f t="shared" ref="G1267:G1269" si="368">IF(E1267&lt;=30,(0.6*E1267+1.25)*F1267,((0.6*30+1.25)+0.5*(E1267-30))*F1267)</f>
        <v>9.9339499999999994</v>
      </c>
      <c r="H1267" s="465"/>
      <c r="I1267" s="465"/>
      <c r="J1267" s="407">
        <f t="shared" si="367"/>
        <v>0</v>
      </c>
      <c r="K1267" s="408"/>
      <c r="L1267" s="152">
        <v>0</v>
      </c>
      <c r="M1267" s="213"/>
      <c r="N1267" s="402">
        <f t="shared" si="363"/>
        <v>0</v>
      </c>
      <c r="O1267" s="402">
        <f t="shared" si="364"/>
        <v>0</v>
      </c>
      <c r="P1267" s="403"/>
      <c r="Q1267" s="464"/>
      <c r="R1267" s="464"/>
      <c r="S1267" s="402">
        <f t="shared" si="365"/>
        <v>0</v>
      </c>
      <c r="T1267" s="404">
        <f t="shared" si="362"/>
        <v>0</v>
      </c>
      <c r="U1267" s="403"/>
      <c r="V1267" s="160" t="str">
        <f>IF(T1265&gt;0,"xx",IF(O1265&gt;0,"xy",""))</f>
        <v/>
      </c>
      <c r="W1267" s="43" t="str">
        <f t="shared" si="352"/>
        <v/>
      </c>
      <c r="X1267" s="43" t="str">
        <f t="shared" si="359"/>
        <v/>
      </c>
      <c r="Y1267" s="43" t="str">
        <f t="shared" si="344"/>
        <v/>
      </c>
    </row>
    <row r="1268" spans="1:25" hidden="1">
      <c r="A1268" s="155" t="s">
        <v>183</v>
      </c>
      <c r="B1268" s="156"/>
      <c r="C1268" s="411" t="s">
        <v>323</v>
      </c>
      <c r="D1268" s="351"/>
      <c r="E1268" s="405">
        <v>20</v>
      </c>
      <c r="F1268" s="406">
        <v>0.1711</v>
      </c>
      <c r="G1268" s="158">
        <f t="shared" si="368"/>
        <v>2.2670750000000002</v>
      </c>
      <c r="H1268" s="465"/>
      <c r="I1268" s="465"/>
      <c r="J1268" s="407">
        <f t="shared" si="367"/>
        <v>0</v>
      </c>
      <c r="K1268" s="408"/>
      <c r="L1268" s="152">
        <v>0</v>
      </c>
      <c r="M1268" s="213"/>
      <c r="N1268" s="402">
        <f t="shared" si="363"/>
        <v>0</v>
      </c>
      <c r="O1268" s="402">
        <f t="shared" si="364"/>
        <v>0</v>
      </c>
      <c r="P1268" s="403"/>
      <c r="Q1268" s="464"/>
      <c r="R1268" s="464"/>
      <c r="S1268" s="402">
        <f t="shared" si="365"/>
        <v>0</v>
      </c>
      <c r="T1268" s="404">
        <f t="shared" si="362"/>
        <v>0</v>
      </c>
      <c r="U1268" s="403"/>
      <c r="V1268" s="160" t="str">
        <f>IF(T1265&gt;0,"xx",IF(O1265&gt;0,"xy",""))</f>
        <v/>
      </c>
      <c r="W1268" s="43" t="str">
        <f t="shared" si="352"/>
        <v/>
      </c>
      <c r="X1268" s="43" t="str">
        <f t="shared" si="359"/>
        <v/>
      </c>
      <c r="Y1268" s="43" t="str">
        <f t="shared" ref="Y1268:Y1331" si="369">IF(V1268="X","x",IF(T1268&gt;0,"x",""))</f>
        <v/>
      </c>
    </row>
    <row r="1269" spans="1:25" hidden="1">
      <c r="A1269" s="155" t="s">
        <v>183</v>
      </c>
      <c r="B1269" s="156"/>
      <c r="C1269" s="411" t="s">
        <v>458</v>
      </c>
      <c r="D1269" s="351"/>
      <c r="E1269" s="405">
        <v>20</v>
      </c>
      <c r="F1269" s="406">
        <v>0.25</v>
      </c>
      <c r="G1269" s="158">
        <f t="shared" si="368"/>
        <v>3.3125</v>
      </c>
      <c r="H1269" s="465"/>
      <c r="I1269" s="465"/>
      <c r="J1269" s="407">
        <f t="shared" si="367"/>
        <v>0</v>
      </c>
      <c r="K1269" s="408"/>
      <c r="L1269" s="152">
        <v>0</v>
      </c>
      <c r="M1269" s="213"/>
      <c r="N1269" s="402">
        <f t="shared" si="363"/>
        <v>0</v>
      </c>
      <c r="O1269" s="402">
        <f t="shared" si="364"/>
        <v>0</v>
      </c>
      <c r="P1269" s="403"/>
      <c r="Q1269" s="464"/>
      <c r="R1269" s="464"/>
      <c r="S1269" s="402">
        <f t="shared" si="365"/>
        <v>0</v>
      </c>
      <c r="T1269" s="404">
        <f t="shared" si="362"/>
        <v>0</v>
      </c>
      <c r="U1269" s="403"/>
      <c r="V1269" s="160" t="str">
        <f>IF(T1265&gt;0,"xx",IF(O1265&gt;0,"xy",""))</f>
        <v/>
      </c>
      <c r="W1269" s="43" t="str">
        <f t="shared" si="352"/>
        <v/>
      </c>
      <c r="X1269" s="43" t="str">
        <f t="shared" si="359"/>
        <v/>
      </c>
      <c r="Y1269" s="43" t="str">
        <f t="shared" si="369"/>
        <v/>
      </c>
    </row>
    <row r="1270" spans="1:25" hidden="1">
      <c r="A1270" s="155">
        <v>610700</v>
      </c>
      <c r="B1270" s="156" t="s">
        <v>242</v>
      </c>
      <c r="C1270" s="411" t="s">
        <v>504</v>
      </c>
      <c r="D1270" s="351"/>
      <c r="E1270" s="405"/>
      <c r="F1270" s="406"/>
      <c r="G1270" s="158">
        <f>SUM(G1271:G1274)</f>
        <v>26.106975000000002</v>
      </c>
      <c r="H1270" s="465">
        <v>250.5</v>
      </c>
      <c r="I1270" s="465">
        <f>IF(ISBLANK(H1270),"",SUM(G1270:H1270))</f>
        <v>276.60697499999998</v>
      </c>
      <c r="J1270" s="407">
        <f t="shared" si="367"/>
        <v>350.74</v>
      </c>
      <c r="K1270" s="408" t="s">
        <v>20</v>
      </c>
      <c r="L1270" s="152">
        <v>0</v>
      </c>
      <c r="M1270" s="152"/>
      <c r="N1270" s="402">
        <f t="shared" si="363"/>
        <v>0</v>
      </c>
      <c r="O1270" s="402">
        <f t="shared" si="364"/>
        <v>0</v>
      </c>
      <c r="P1270" s="403"/>
      <c r="Q1270" s="152">
        <f t="shared" si="347"/>
        <v>0</v>
      </c>
      <c r="R1270" s="152">
        <f t="shared" si="347"/>
        <v>0</v>
      </c>
      <c r="S1270" s="402">
        <f t="shared" si="365"/>
        <v>0</v>
      </c>
      <c r="T1270" s="404">
        <f t="shared" si="362"/>
        <v>0</v>
      </c>
      <c r="U1270" s="403"/>
      <c r="W1270" s="43" t="str">
        <f t="shared" si="352"/>
        <v/>
      </c>
      <c r="X1270" s="43" t="str">
        <f t="shared" si="359"/>
        <v/>
      </c>
      <c r="Y1270" s="43" t="str">
        <f t="shared" si="369"/>
        <v/>
      </c>
    </row>
    <row r="1271" spans="1:25" hidden="1">
      <c r="A1271" s="155" t="s">
        <v>183</v>
      </c>
      <c r="B1271" s="156"/>
      <c r="C1271" s="411" t="s">
        <v>251</v>
      </c>
      <c r="D1271" s="351"/>
      <c r="E1271" s="405">
        <v>500</v>
      </c>
      <c r="F1271" s="406">
        <v>3.4500000000000003E-2</v>
      </c>
      <c r="G1271" s="158">
        <f>IF(E1271&lt;=30,(0.42*E1271+3.55)*F1271,((0.42*30+3.55)+0.35*(E1271-30))*F1271)</f>
        <v>6.232425000000001</v>
      </c>
      <c r="H1271" s="465"/>
      <c r="I1271" s="465"/>
      <c r="J1271" s="407">
        <f t="shared" si="367"/>
        <v>0</v>
      </c>
      <c r="K1271" s="408"/>
      <c r="L1271" s="152">
        <v>0</v>
      </c>
      <c r="M1271" s="213"/>
      <c r="N1271" s="402">
        <f t="shared" si="363"/>
        <v>0</v>
      </c>
      <c r="O1271" s="402">
        <f t="shared" si="364"/>
        <v>0</v>
      </c>
      <c r="P1271" s="403"/>
      <c r="Q1271" s="464"/>
      <c r="R1271" s="464"/>
      <c r="S1271" s="402">
        <f t="shared" si="365"/>
        <v>0</v>
      </c>
      <c r="T1271" s="404">
        <f t="shared" si="362"/>
        <v>0</v>
      </c>
      <c r="U1271" s="403"/>
      <c r="V1271" s="160" t="str">
        <f>IF(T1270&gt;0,"xx",IF(O1270&gt;0,"xy",""))</f>
        <v/>
      </c>
      <c r="W1271" s="43" t="str">
        <f t="shared" si="352"/>
        <v/>
      </c>
      <c r="X1271" s="43" t="str">
        <f t="shared" si="359"/>
        <v/>
      </c>
      <c r="Y1271" s="43" t="str">
        <f t="shared" si="369"/>
        <v/>
      </c>
    </row>
    <row r="1272" spans="1:25" hidden="1">
      <c r="A1272" s="155" t="s">
        <v>183</v>
      </c>
      <c r="B1272" s="156"/>
      <c r="C1272" s="411" t="s">
        <v>314</v>
      </c>
      <c r="D1272" s="351"/>
      <c r="E1272" s="405">
        <v>180</v>
      </c>
      <c r="F1272" s="406">
        <v>0.12690000000000001</v>
      </c>
      <c r="G1272" s="158">
        <f t="shared" ref="G1272:G1274" si="370">IF(E1272&lt;=30,(0.6*E1272+1.25)*F1272,((0.6*30+1.25)+0.5*(E1272-30))*F1272)</f>
        <v>11.960325000000001</v>
      </c>
      <c r="H1272" s="465"/>
      <c r="I1272" s="465"/>
      <c r="J1272" s="407">
        <f t="shared" si="367"/>
        <v>0</v>
      </c>
      <c r="K1272" s="408"/>
      <c r="L1272" s="152">
        <v>0</v>
      </c>
      <c r="M1272" s="213"/>
      <c r="N1272" s="402">
        <f t="shared" si="363"/>
        <v>0</v>
      </c>
      <c r="O1272" s="402">
        <f t="shared" si="364"/>
        <v>0</v>
      </c>
      <c r="P1272" s="403"/>
      <c r="Q1272" s="464"/>
      <c r="R1272" s="464"/>
      <c r="S1272" s="402">
        <f t="shared" si="365"/>
        <v>0</v>
      </c>
      <c r="T1272" s="404">
        <f t="shared" si="362"/>
        <v>0</v>
      </c>
      <c r="U1272" s="403"/>
      <c r="V1272" s="160" t="str">
        <f>IF(T1270&gt;0,"xx",IF(O1270&gt;0,"xy",""))</f>
        <v/>
      </c>
      <c r="W1272" s="43" t="str">
        <f t="shared" si="352"/>
        <v/>
      </c>
      <c r="X1272" s="43" t="str">
        <f t="shared" si="359"/>
        <v/>
      </c>
      <c r="Y1272" s="43" t="str">
        <f t="shared" si="369"/>
        <v/>
      </c>
    </row>
    <row r="1273" spans="1:25" hidden="1">
      <c r="A1273" s="155" t="s">
        <v>183</v>
      </c>
      <c r="B1273" s="156"/>
      <c r="C1273" s="411" t="s">
        <v>323</v>
      </c>
      <c r="D1273" s="351"/>
      <c r="E1273" s="405">
        <v>20</v>
      </c>
      <c r="F1273" s="406">
        <v>0.20729999999999998</v>
      </c>
      <c r="G1273" s="158">
        <f t="shared" si="370"/>
        <v>2.7467249999999996</v>
      </c>
      <c r="H1273" s="465"/>
      <c r="I1273" s="465"/>
      <c r="J1273" s="407">
        <f t="shared" si="367"/>
        <v>0</v>
      </c>
      <c r="K1273" s="408"/>
      <c r="L1273" s="152">
        <v>0</v>
      </c>
      <c r="M1273" s="213"/>
      <c r="N1273" s="402">
        <f t="shared" si="363"/>
        <v>0</v>
      </c>
      <c r="O1273" s="402">
        <f t="shared" si="364"/>
        <v>0</v>
      </c>
      <c r="P1273" s="403"/>
      <c r="Q1273" s="464"/>
      <c r="R1273" s="464"/>
      <c r="S1273" s="402">
        <f t="shared" si="365"/>
        <v>0</v>
      </c>
      <c r="T1273" s="404">
        <f t="shared" si="362"/>
        <v>0</v>
      </c>
      <c r="U1273" s="403"/>
      <c r="V1273" s="160" t="str">
        <f>IF(T1270&gt;0,"xx",IF(O1270&gt;0,"xy",""))</f>
        <v/>
      </c>
      <c r="W1273" s="43" t="str">
        <f t="shared" si="352"/>
        <v/>
      </c>
      <c r="X1273" s="43" t="str">
        <f t="shared" si="359"/>
        <v/>
      </c>
      <c r="Y1273" s="43" t="str">
        <f t="shared" si="369"/>
        <v/>
      </c>
    </row>
    <row r="1274" spans="1:25" hidden="1">
      <c r="A1274" s="155" t="s">
        <v>183</v>
      </c>
      <c r="B1274" s="156"/>
      <c r="C1274" s="411" t="s">
        <v>458</v>
      </c>
      <c r="D1274" s="351"/>
      <c r="E1274" s="405">
        <v>20</v>
      </c>
      <c r="F1274" s="406">
        <v>0.39</v>
      </c>
      <c r="G1274" s="158">
        <f t="shared" si="370"/>
        <v>5.1675000000000004</v>
      </c>
      <c r="H1274" s="465"/>
      <c r="I1274" s="465"/>
      <c r="J1274" s="407">
        <f t="shared" si="367"/>
        <v>0</v>
      </c>
      <c r="K1274" s="408"/>
      <c r="L1274" s="152">
        <v>0</v>
      </c>
      <c r="M1274" s="213"/>
      <c r="N1274" s="402">
        <f t="shared" si="363"/>
        <v>0</v>
      </c>
      <c r="O1274" s="402">
        <f t="shared" si="364"/>
        <v>0</v>
      </c>
      <c r="P1274" s="403"/>
      <c r="Q1274" s="464"/>
      <c r="R1274" s="464"/>
      <c r="S1274" s="402">
        <f t="shared" si="365"/>
        <v>0</v>
      </c>
      <c r="T1274" s="404">
        <f t="shared" si="362"/>
        <v>0</v>
      </c>
      <c r="U1274" s="403"/>
      <c r="V1274" s="160" t="str">
        <f>IF(T1270&gt;0,"xx",IF(O1270&gt;0,"xy",""))</f>
        <v/>
      </c>
      <c r="W1274" s="43" t="str">
        <f t="shared" si="352"/>
        <v/>
      </c>
      <c r="X1274" s="43" t="str">
        <f t="shared" si="359"/>
        <v/>
      </c>
      <c r="Y1274" s="43" t="str">
        <f t="shared" si="369"/>
        <v/>
      </c>
    </row>
    <row r="1275" spans="1:25" hidden="1">
      <c r="A1275" s="155" t="s">
        <v>989</v>
      </c>
      <c r="B1275" s="156" t="s">
        <v>242</v>
      </c>
      <c r="C1275" s="411" t="s">
        <v>990</v>
      </c>
      <c r="D1275" s="351"/>
      <c r="E1275" s="405"/>
      <c r="F1275" s="406"/>
      <c r="G1275" s="158">
        <f>SUM(G1276:G1279)</f>
        <v>35.638179999999998</v>
      </c>
      <c r="H1275" s="465">
        <v>328.60500000000002</v>
      </c>
      <c r="I1275" s="465">
        <f>IF(ISBLANK(H1275),"",SUM(G1275:H1275))*0.95</f>
        <v>346.03102099999995</v>
      </c>
      <c r="J1275" s="407">
        <f t="shared" si="367"/>
        <v>438.77</v>
      </c>
      <c r="K1275" s="408" t="s">
        <v>20</v>
      </c>
      <c r="L1275" s="152">
        <v>0</v>
      </c>
      <c r="M1275" s="152"/>
      <c r="N1275" s="402">
        <f t="shared" si="363"/>
        <v>0</v>
      </c>
      <c r="O1275" s="402">
        <f t="shared" si="364"/>
        <v>0</v>
      </c>
      <c r="P1275" s="403"/>
      <c r="Q1275" s="152">
        <f t="shared" si="347"/>
        <v>0</v>
      </c>
      <c r="R1275" s="152">
        <f t="shared" si="347"/>
        <v>0</v>
      </c>
      <c r="S1275" s="402">
        <f t="shared" si="365"/>
        <v>0</v>
      </c>
      <c r="T1275" s="404">
        <f t="shared" si="362"/>
        <v>0</v>
      </c>
      <c r="U1275" s="403"/>
      <c r="W1275" s="43" t="str">
        <f t="shared" si="352"/>
        <v/>
      </c>
      <c r="X1275" s="43" t="str">
        <f t="shared" si="359"/>
        <v/>
      </c>
      <c r="Y1275" s="43" t="str">
        <f t="shared" si="369"/>
        <v/>
      </c>
    </row>
    <row r="1276" spans="1:25" hidden="1">
      <c r="A1276" s="155" t="s">
        <v>183</v>
      </c>
      <c r="B1276" s="156"/>
      <c r="C1276" s="411" t="s">
        <v>251</v>
      </c>
      <c r="D1276" s="351"/>
      <c r="E1276" s="405">
        <v>500</v>
      </c>
      <c r="F1276" s="406">
        <v>4.7199999999999999E-2</v>
      </c>
      <c r="G1276" s="158">
        <f>IF(E1276&lt;=30,(0.42*E1276+3.55)*F1276,((0.42*30+3.55)+0.35*(E1276-30))*F1276)</f>
        <v>8.5266800000000007</v>
      </c>
      <c r="H1276" s="465"/>
      <c r="I1276" s="465"/>
      <c r="J1276" s="407">
        <f t="shared" si="367"/>
        <v>0</v>
      </c>
      <c r="K1276" s="408"/>
      <c r="L1276" s="152">
        <v>0</v>
      </c>
      <c r="M1276" s="213"/>
      <c r="N1276" s="402">
        <f t="shared" si="363"/>
        <v>0</v>
      </c>
      <c r="O1276" s="402">
        <f t="shared" si="364"/>
        <v>0</v>
      </c>
      <c r="P1276" s="403"/>
      <c r="Q1276" s="464"/>
      <c r="R1276" s="464"/>
      <c r="S1276" s="402">
        <f t="shared" si="365"/>
        <v>0</v>
      </c>
      <c r="T1276" s="404">
        <f t="shared" si="362"/>
        <v>0</v>
      </c>
      <c r="U1276" s="403"/>
      <c r="V1276" s="160" t="str">
        <f>IF(T1275&gt;0,"xx",IF(O1275&gt;0,"xy",""))</f>
        <v/>
      </c>
      <c r="W1276" s="43" t="str">
        <f t="shared" si="352"/>
        <v/>
      </c>
      <c r="X1276" s="43" t="str">
        <f t="shared" si="359"/>
        <v/>
      </c>
      <c r="Y1276" s="43" t="str">
        <f t="shared" si="369"/>
        <v/>
      </c>
    </row>
    <row r="1277" spans="1:25" hidden="1">
      <c r="A1277" s="155" t="s">
        <v>183</v>
      </c>
      <c r="B1277" s="156"/>
      <c r="C1277" s="411" t="s">
        <v>314</v>
      </c>
      <c r="D1277" s="351"/>
      <c r="E1277" s="405">
        <v>180</v>
      </c>
      <c r="F1277" s="406">
        <v>0.17269999999999999</v>
      </c>
      <c r="G1277" s="158">
        <f t="shared" ref="G1277:G1279" si="371">IF(E1277&lt;=30,(0.6*E1277+1.25)*F1277,((0.6*30+1.25)+0.5*(E1277-30))*F1277)</f>
        <v>16.276975</v>
      </c>
      <c r="H1277" s="465"/>
      <c r="I1277" s="465"/>
      <c r="J1277" s="407">
        <f t="shared" si="367"/>
        <v>0</v>
      </c>
      <c r="K1277" s="408"/>
      <c r="L1277" s="152">
        <v>0</v>
      </c>
      <c r="M1277" s="213"/>
      <c r="N1277" s="402">
        <f t="shared" si="363"/>
        <v>0</v>
      </c>
      <c r="O1277" s="402">
        <f t="shared" si="364"/>
        <v>0</v>
      </c>
      <c r="P1277" s="403"/>
      <c r="Q1277" s="464"/>
      <c r="R1277" s="464"/>
      <c r="S1277" s="402">
        <f t="shared" si="365"/>
        <v>0</v>
      </c>
      <c r="T1277" s="404">
        <f t="shared" si="362"/>
        <v>0</v>
      </c>
      <c r="U1277" s="403"/>
      <c r="V1277" s="160" t="str">
        <f>IF(T1275&gt;0,"xx",IF(O1275&gt;0,"xy",""))</f>
        <v/>
      </c>
      <c r="W1277" s="43" t="str">
        <f t="shared" si="352"/>
        <v/>
      </c>
      <c r="X1277" s="43" t="str">
        <f t="shared" si="359"/>
        <v/>
      </c>
      <c r="Y1277" s="43" t="str">
        <f t="shared" si="369"/>
        <v/>
      </c>
    </row>
    <row r="1278" spans="1:25" hidden="1">
      <c r="A1278" s="155" t="s">
        <v>183</v>
      </c>
      <c r="B1278" s="156"/>
      <c r="C1278" s="411" t="s">
        <v>323</v>
      </c>
      <c r="D1278" s="351"/>
      <c r="E1278" s="405">
        <v>20</v>
      </c>
      <c r="F1278" s="406">
        <v>0.28770000000000001</v>
      </c>
      <c r="G1278" s="158">
        <f t="shared" si="371"/>
        <v>3.8120250000000002</v>
      </c>
      <c r="H1278" s="465"/>
      <c r="I1278" s="465"/>
      <c r="J1278" s="407">
        <f t="shared" si="367"/>
        <v>0</v>
      </c>
      <c r="K1278" s="408"/>
      <c r="L1278" s="152">
        <v>0</v>
      </c>
      <c r="M1278" s="213"/>
      <c r="N1278" s="402">
        <f t="shared" si="363"/>
        <v>0</v>
      </c>
      <c r="O1278" s="402">
        <f t="shared" si="364"/>
        <v>0</v>
      </c>
      <c r="P1278" s="403"/>
      <c r="Q1278" s="464"/>
      <c r="R1278" s="464"/>
      <c r="S1278" s="402">
        <f t="shared" si="365"/>
        <v>0</v>
      </c>
      <c r="T1278" s="404">
        <f t="shared" si="362"/>
        <v>0</v>
      </c>
      <c r="U1278" s="403"/>
      <c r="V1278" s="160" t="str">
        <f>IF(T1275&gt;0,"xx",IF(O1275&gt;0,"xy",""))</f>
        <v/>
      </c>
      <c r="W1278" s="43" t="str">
        <f t="shared" si="352"/>
        <v/>
      </c>
      <c r="X1278" s="43" t="str">
        <f t="shared" si="359"/>
        <v/>
      </c>
      <c r="Y1278" s="43" t="str">
        <f t="shared" si="369"/>
        <v/>
      </c>
    </row>
    <row r="1279" spans="1:25" hidden="1">
      <c r="A1279" s="155" t="s">
        <v>183</v>
      </c>
      <c r="B1279" s="156"/>
      <c r="C1279" s="411" t="s">
        <v>458</v>
      </c>
      <c r="D1279" s="351"/>
      <c r="E1279" s="405">
        <v>20</v>
      </c>
      <c r="F1279" s="406">
        <v>0.53</v>
      </c>
      <c r="G1279" s="158">
        <f t="shared" si="371"/>
        <v>7.0225</v>
      </c>
      <c r="H1279" s="465"/>
      <c r="I1279" s="465"/>
      <c r="J1279" s="407">
        <f t="shared" si="367"/>
        <v>0</v>
      </c>
      <c r="K1279" s="408"/>
      <c r="L1279" s="152">
        <v>0</v>
      </c>
      <c r="M1279" s="213"/>
      <c r="N1279" s="402">
        <f t="shared" si="363"/>
        <v>0</v>
      </c>
      <c r="O1279" s="402">
        <f t="shared" si="364"/>
        <v>0</v>
      </c>
      <c r="P1279" s="403"/>
      <c r="Q1279" s="464"/>
      <c r="R1279" s="464"/>
      <c r="S1279" s="402">
        <f t="shared" si="365"/>
        <v>0</v>
      </c>
      <c r="T1279" s="404">
        <f t="shared" si="362"/>
        <v>0</v>
      </c>
      <c r="U1279" s="403"/>
      <c r="V1279" s="160" t="str">
        <f>IF(T1275&gt;0,"xx",IF(O1275&gt;0,"xy",""))</f>
        <v/>
      </c>
      <c r="W1279" s="43" t="str">
        <f t="shared" si="352"/>
        <v/>
      </c>
      <c r="X1279" s="43" t="str">
        <f t="shared" si="359"/>
        <v/>
      </c>
      <c r="Y1279" s="43" t="str">
        <f t="shared" si="369"/>
        <v/>
      </c>
    </row>
    <row r="1280" spans="1:25" hidden="1">
      <c r="A1280" s="155">
        <v>610900</v>
      </c>
      <c r="B1280" s="156" t="s">
        <v>242</v>
      </c>
      <c r="C1280" s="411" t="s">
        <v>505</v>
      </c>
      <c r="D1280" s="351"/>
      <c r="E1280" s="405"/>
      <c r="F1280" s="406"/>
      <c r="G1280" s="158">
        <f>SUM(G1281:G1284)</f>
        <v>45.159959999999998</v>
      </c>
      <c r="H1280" s="465">
        <v>406.71000000000004</v>
      </c>
      <c r="I1280" s="465">
        <f>IF(ISBLANK(H1280),"",SUM(G1280:H1280))*0.95</f>
        <v>429.27646200000004</v>
      </c>
      <c r="J1280" s="407">
        <f t="shared" si="367"/>
        <v>544.32000000000005</v>
      </c>
      <c r="K1280" s="408" t="s">
        <v>20</v>
      </c>
      <c r="L1280" s="152">
        <v>0</v>
      </c>
      <c r="M1280" s="152"/>
      <c r="N1280" s="402">
        <f t="shared" si="363"/>
        <v>0</v>
      </c>
      <c r="O1280" s="402">
        <f t="shared" si="364"/>
        <v>0</v>
      </c>
      <c r="P1280" s="403"/>
      <c r="Q1280" s="152">
        <f t="shared" si="347"/>
        <v>0</v>
      </c>
      <c r="R1280" s="152">
        <f t="shared" si="347"/>
        <v>0</v>
      </c>
      <c r="S1280" s="402">
        <f t="shared" si="365"/>
        <v>0</v>
      </c>
      <c r="T1280" s="404">
        <f t="shared" si="362"/>
        <v>0</v>
      </c>
      <c r="U1280" s="403"/>
      <c r="W1280" s="43" t="str">
        <f t="shared" si="352"/>
        <v/>
      </c>
      <c r="X1280" s="43" t="str">
        <f t="shared" si="359"/>
        <v/>
      </c>
      <c r="Y1280" s="43" t="str">
        <f t="shared" si="369"/>
        <v/>
      </c>
    </row>
    <row r="1281" spans="1:25" hidden="1">
      <c r="A1281" s="155" t="s">
        <v>183</v>
      </c>
      <c r="B1281" s="156"/>
      <c r="C1281" s="411" t="s">
        <v>251</v>
      </c>
      <c r="D1281" s="351"/>
      <c r="E1281" s="405">
        <v>500</v>
      </c>
      <c r="F1281" s="406">
        <v>5.9900000000000002E-2</v>
      </c>
      <c r="G1281" s="158">
        <f>IF(E1281&lt;=30,(0.42*E1281+3.55)*F1281,((0.42*30+3.55)+0.35*(E1281-30))*F1281)</f>
        <v>10.820935</v>
      </c>
      <c r="H1281" s="465"/>
      <c r="I1281" s="465"/>
      <c r="J1281" s="407">
        <f t="shared" si="367"/>
        <v>0</v>
      </c>
      <c r="K1281" s="408"/>
      <c r="L1281" s="152">
        <v>0</v>
      </c>
      <c r="M1281" s="213"/>
      <c r="N1281" s="402">
        <f t="shared" si="363"/>
        <v>0</v>
      </c>
      <c r="O1281" s="402">
        <f t="shared" si="364"/>
        <v>0</v>
      </c>
      <c r="P1281" s="403"/>
      <c r="Q1281" s="464"/>
      <c r="R1281" s="464"/>
      <c r="S1281" s="402">
        <f t="shared" si="365"/>
        <v>0</v>
      </c>
      <c r="T1281" s="404">
        <f t="shared" si="362"/>
        <v>0</v>
      </c>
      <c r="U1281" s="403"/>
      <c r="V1281" s="160" t="str">
        <f>IF(T1280&gt;0,"xx",IF(O1280&gt;0,"xy",""))</f>
        <v/>
      </c>
      <c r="W1281" s="43" t="str">
        <f t="shared" si="352"/>
        <v/>
      </c>
      <c r="X1281" s="43" t="str">
        <f t="shared" si="359"/>
        <v/>
      </c>
      <c r="Y1281" s="43" t="str">
        <f t="shared" si="369"/>
        <v/>
      </c>
    </row>
    <row r="1282" spans="1:25" hidden="1">
      <c r="A1282" s="155" t="s">
        <v>183</v>
      </c>
      <c r="B1282" s="156"/>
      <c r="C1282" s="411" t="s">
        <v>314</v>
      </c>
      <c r="D1282" s="351"/>
      <c r="E1282" s="405">
        <v>180</v>
      </c>
      <c r="F1282" s="406">
        <v>0.21840000000000001</v>
      </c>
      <c r="G1282" s="158">
        <f t="shared" ref="G1282:G1284" si="372">IF(E1282&lt;=30,(0.6*E1282+1.25)*F1282,((0.6*30+1.25)+0.5*(E1282-30))*F1282)</f>
        <v>20.584200000000003</v>
      </c>
      <c r="H1282" s="465"/>
      <c r="I1282" s="465"/>
      <c r="J1282" s="407">
        <f t="shared" si="367"/>
        <v>0</v>
      </c>
      <c r="K1282" s="408"/>
      <c r="L1282" s="152">
        <v>0</v>
      </c>
      <c r="M1282" s="213"/>
      <c r="N1282" s="402">
        <f t="shared" si="363"/>
        <v>0</v>
      </c>
      <c r="O1282" s="402">
        <f t="shared" si="364"/>
        <v>0</v>
      </c>
      <c r="P1282" s="403"/>
      <c r="Q1282" s="464"/>
      <c r="R1282" s="464"/>
      <c r="S1282" s="402">
        <f t="shared" si="365"/>
        <v>0</v>
      </c>
      <c r="T1282" s="404">
        <f t="shared" si="362"/>
        <v>0</v>
      </c>
      <c r="U1282" s="403"/>
      <c r="V1282" s="160" t="str">
        <f>IF(T1280&gt;0,"xx",IF(O1280&gt;0,"xy",""))</f>
        <v/>
      </c>
      <c r="W1282" s="43" t="str">
        <f t="shared" si="352"/>
        <v/>
      </c>
      <c r="X1282" s="43" t="str">
        <f t="shared" si="359"/>
        <v/>
      </c>
      <c r="Y1282" s="43" t="str">
        <f t="shared" si="369"/>
        <v/>
      </c>
    </row>
    <row r="1283" spans="1:25" hidden="1">
      <c r="A1283" s="155" t="s">
        <v>183</v>
      </c>
      <c r="B1283" s="156"/>
      <c r="C1283" s="411" t="s">
        <v>323</v>
      </c>
      <c r="D1283" s="351"/>
      <c r="E1283" s="405">
        <v>20</v>
      </c>
      <c r="F1283" s="406">
        <v>0.36809999999999998</v>
      </c>
      <c r="G1283" s="158">
        <f t="shared" si="372"/>
        <v>4.8773249999999999</v>
      </c>
      <c r="H1283" s="465"/>
      <c r="I1283" s="465"/>
      <c r="J1283" s="407">
        <f t="shared" si="367"/>
        <v>0</v>
      </c>
      <c r="K1283" s="408"/>
      <c r="L1283" s="152">
        <v>0</v>
      </c>
      <c r="M1283" s="213"/>
      <c r="N1283" s="402">
        <f t="shared" si="363"/>
        <v>0</v>
      </c>
      <c r="O1283" s="402">
        <f t="shared" si="364"/>
        <v>0</v>
      </c>
      <c r="P1283" s="403"/>
      <c r="Q1283" s="464"/>
      <c r="R1283" s="464"/>
      <c r="S1283" s="402">
        <f t="shared" si="365"/>
        <v>0</v>
      </c>
      <c r="T1283" s="404">
        <f t="shared" si="362"/>
        <v>0</v>
      </c>
      <c r="U1283" s="403"/>
      <c r="V1283" s="160" t="str">
        <f>IF(T1280&gt;0,"xx",IF(O1280&gt;0,"xy",""))</f>
        <v/>
      </c>
      <c r="W1283" s="43" t="str">
        <f t="shared" si="352"/>
        <v/>
      </c>
      <c r="X1283" s="43" t="str">
        <f t="shared" si="359"/>
        <v/>
      </c>
      <c r="Y1283" s="43" t="str">
        <f t="shared" si="369"/>
        <v/>
      </c>
    </row>
    <row r="1284" spans="1:25" hidden="1">
      <c r="A1284" s="155" t="s">
        <v>183</v>
      </c>
      <c r="B1284" s="156"/>
      <c r="C1284" s="411" t="s">
        <v>458</v>
      </c>
      <c r="D1284" s="351"/>
      <c r="E1284" s="405">
        <v>20</v>
      </c>
      <c r="F1284" s="406">
        <v>0.67</v>
      </c>
      <c r="G1284" s="158">
        <f t="shared" si="372"/>
        <v>8.8775000000000013</v>
      </c>
      <c r="H1284" s="465"/>
      <c r="I1284" s="465"/>
      <c r="J1284" s="407">
        <f t="shared" si="367"/>
        <v>0</v>
      </c>
      <c r="K1284" s="408"/>
      <c r="L1284" s="152">
        <v>0</v>
      </c>
      <c r="M1284" s="213"/>
      <c r="N1284" s="402">
        <f t="shared" si="363"/>
        <v>0</v>
      </c>
      <c r="O1284" s="402">
        <f t="shared" si="364"/>
        <v>0</v>
      </c>
      <c r="P1284" s="403"/>
      <c r="Q1284" s="464"/>
      <c r="R1284" s="464"/>
      <c r="S1284" s="402">
        <f t="shared" si="365"/>
        <v>0</v>
      </c>
      <c r="T1284" s="404">
        <f t="shared" si="362"/>
        <v>0</v>
      </c>
      <c r="U1284" s="403"/>
      <c r="V1284" s="160" t="str">
        <f>IF(T1280&gt;0,"xx",IF(O1280&gt;0,"xy",""))</f>
        <v/>
      </c>
      <c r="W1284" s="43" t="str">
        <f t="shared" si="352"/>
        <v/>
      </c>
      <c r="X1284" s="43" t="str">
        <f t="shared" si="359"/>
        <v/>
      </c>
      <c r="Y1284" s="43" t="str">
        <f t="shared" si="369"/>
        <v/>
      </c>
    </row>
    <row r="1285" spans="1:25" hidden="1">
      <c r="A1285" s="155" t="s">
        <v>991</v>
      </c>
      <c r="B1285" s="156" t="s">
        <v>242</v>
      </c>
      <c r="C1285" s="411" t="s">
        <v>992</v>
      </c>
      <c r="D1285" s="351"/>
      <c r="E1285" s="405"/>
      <c r="F1285" s="406"/>
      <c r="G1285" s="158">
        <f>SUM(G1286:G1289)</f>
        <v>56.986195000000002</v>
      </c>
      <c r="H1285" s="465">
        <v>490.77499999999998</v>
      </c>
      <c r="I1285" s="465">
        <f>IF(ISBLANK(H1285),"",SUM(G1285:H1285))</f>
        <v>547.76119499999993</v>
      </c>
      <c r="J1285" s="407">
        <f t="shared" si="367"/>
        <v>694.56</v>
      </c>
      <c r="K1285" s="408" t="s">
        <v>20</v>
      </c>
      <c r="L1285" s="152">
        <v>0</v>
      </c>
      <c r="M1285" s="152"/>
      <c r="N1285" s="402">
        <f t="shared" si="363"/>
        <v>0</v>
      </c>
      <c r="O1285" s="402">
        <f t="shared" si="364"/>
        <v>0</v>
      </c>
      <c r="P1285" s="403"/>
      <c r="Q1285" s="152">
        <f t="shared" si="347"/>
        <v>0</v>
      </c>
      <c r="R1285" s="152">
        <f t="shared" si="347"/>
        <v>0</v>
      </c>
      <c r="S1285" s="402">
        <f t="shared" si="365"/>
        <v>0</v>
      </c>
      <c r="T1285" s="404">
        <f t="shared" si="362"/>
        <v>0</v>
      </c>
      <c r="U1285" s="403"/>
      <c r="W1285" s="43" t="str">
        <f t="shared" si="352"/>
        <v/>
      </c>
      <c r="X1285" s="43" t="str">
        <f t="shared" si="359"/>
        <v/>
      </c>
      <c r="Y1285" s="43" t="str">
        <f t="shared" si="369"/>
        <v/>
      </c>
    </row>
    <row r="1286" spans="1:25" hidden="1">
      <c r="A1286" s="155" t="s">
        <v>183</v>
      </c>
      <c r="B1286" s="156"/>
      <c r="C1286" s="411" t="s">
        <v>251</v>
      </c>
      <c r="D1286" s="351"/>
      <c r="E1286" s="405">
        <v>500</v>
      </c>
      <c r="F1286" s="406">
        <v>7.5800000000000006E-2</v>
      </c>
      <c r="G1286" s="158">
        <f>IF(E1286&lt;=30,(0.42*E1286+3.55)*F1286,((0.42*30+3.55)+0.35*(E1286-30))*F1286)</f>
        <v>13.693270000000002</v>
      </c>
      <c r="H1286" s="465"/>
      <c r="I1286" s="465"/>
      <c r="J1286" s="407">
        <f t="shared" si="367"/>
        <v>0</v>
      </c>
      <c r="K1286" s="408"/>
      <c r="L1286" s="152">
        <v>0</v>
      </c>
      <c r="M1286" s="213"/>
      <c r="N1286" s="402">
        <f t="shared" si="363"/>
        <v>0</v>
      </c>
      <c r="O1286" s="402">
        <f t="shared" si="364"/>
        <v>0</v>
      </c>
      <c r="P1286" s="403"/>
      <c r="Q1286" s="464"/>
      <c r="R1286" s="464"/>
      <c r="S1286" s="402">
        <f t="shared" si="365"/>
        <v>0</v>
      </c>
      <c r="T1286" s="404">
        <f t="shared" si="362"/>
        <v>0</v>
      </c>
      <c r="U1286" s="403"/>
      <c r="V1286" s="160" t="str">
        <f>IF(T1285&gt;0,"xx",IF(O1285&gt;0,"xy",""))</f>
        <v/>
      </c>
      <c r="W1286" s="43" t="str">
        <f t="shared" si="352"/>
        <v/>
      </c>
      <c r="X1286" s="43" t="str">
        <f t="shared" si="359"/>
        <v/>
      </c>
      <c r="Y1286" s="43" t="str">
        <f t="shared" si="369"/>
        <v/>
      </c>
    </row>
    <row r="1287" spans="1:25" hidden="1">
      <c r="A1287" s="155" t="s">
        <v>183</v>
      </c>
      <c r="B1287" s="156"/>
      <c r="C1287" s="411" t="s">
        <v>314</v>
      </c>
      <c r="D1287" s="351"/>
      <c r="E1287" s="405">
        <v>180</v>
      </c>
      <c r="F1287" s="406">
        <v>0.27639999999999998</v>
      </c>
      <c r="G1287" s="158">
        <f t="shared" ref="G1287:G1289" si="373">IF(E1287&lt;=30,(0.6*E1287+1.25)*F1287,((0.6*30+1.25)+0.5*(E1287-30))*F1287)</f>
        <v>26.050699999999999</v>
      </c>
      <c r="H1287" s="465"/>
      <c r="I1287" s="465"/>
      <c r="J1287" s="407">
        <f t="shared" si="367"/>
        <v>0</v>
      </c>
      <c r="K1287" s="408"/>
      <c r="L1287" s="152">
        <v>0</v>
      </c>
      <c r="M1287" s="213"/>
      <c r="N1287" s="402">
        <f t="shared" si="363"/>
        <v>0</v>
      </c>
      <c r="O1287" s="402">
        <f t="shared" si="364"/>
        <v>0</v>
      </c>
      <c r="P1287" s="403"/>
      <c r="Q1287" s="464"/>
      <c r="R1287" s="464"/>
      <c r="S1287" s="402">
        <f t="shared" si="365"/>
        <v>0</v>
      </c>
      <c r="T1287" s="404">
        <f t="shared" si="362"/>
        <v>0</v>
      </c>
      <c r="U1287" s="403"/>
      <c r="V1287" s="160" t="str">
        <f>IF(T1285&gt;0,"xx",IF(O1285&gt;0,"xy",""))</f>
        <v/>
      </c>
      <c r="W1287" s="43" t="str">
        <f t="shared" si="352"/>
        <v/>
      </c>
      <c r="X1287" s="43" t="str">
        <f t="shared" si="359"/>
        <v/>
      </c>
      <c r="Y1287" s="43" t="str">
        <f t="shared" si="369"/>
        <v/>
      </c>
    </row>
    <row r="1288" spans="1:25" hidden="1">
      <c r="A1288" s="155" t="s">
        <v>183</v>
      </c>
      <c r="B1288" s="156"/>
      <c r="C1288" s="411" t="s">
        <v>323</v>
      </c>
      <c r="D1288" s="351"/>
      <c r="E1288" s="405">
        <v>20</v>
      </c>
      <c r="F1288" s="406">
        <v>0.46629999999999999</v>
      </c>
      <c r="G1288" s="158">
        <f t="shared" si="373"/>
        <v>6.1784749999999997</v>
      </c>
      <c r="H1288" s="465"/>
      <c r="I1288" s="465"/>
      <c r="J1288" s="407">
        <f t="shared" si="367"/>
        <v>0</v>
      </c>
      <c r="K1288" s="408"/>
      <c r="L1288" s="152">
        <v>0</v>
      </c>
      <c r="M1288" s="213"/>
      <c r="N1288" s="402">
        <f t="shared" si="363"/>
        <v>0</v>
      </c>
      <c r="O1288" s="402">
        <f t="shared" si="364"/>
        <v>0</v>
      </c>
      <c r="P1288" s="403"/>
      <c r="Q1288" s="464"/>
      <c r="R1288" s="464"/>
      <c r="S1288" s="402">
        <f t="shared" si="365"/>
        <v>0</v>
      </c>
      <c r="T1288" s="404">
        <f t="shared" si="362"/>
        <v>0</v>
      </c>
      <c r="U1288" s="403"/>
      <c r="V1288" s="160" t="str">
        <f>IF(T1285&gt;0,"xx",IF(O1285&gt;0,"xy",""))</f>
        <v/>
      </c>
      <c r="W1288" s="43" t="str">
        <f t="shared" si="352"/>
        <v/>
      </c>
      <c r="X1288" s="43" t="str">
        <f t="shared" si="359"/>
        <v/>
      </c>
      <c r="Y1288" s="43" t="str">
        <f t="shared" si="369"/>
        <v/>
      </c>
    </row>
    <row r="1289" spans="1:25" hidden="1">
      <c r="A1289" s="155" t="s">
        <v>183</v>
      </c>
      <c r="B1289" s="156"/>
      <c r="C1289" s="411" t="s">
        <v>458</v>
      </c>
      <c r="D1289" s="351"/>
      <c r="E1289" s="405">
        <v>20</v>
      </c>
      <c r="F1289" s="406">
        <v>0.83499999999999996</v>
      </c>
      <c r="G1289" s="158">
        <f t="shared" si="373"/>
        <v>11.063749999999999</v>
      </c>
      <c r="H1289" s="465"/>
      <c r="I1289" s="465"/>
      <c r="J1289" s="407">
        <f t="shared" si="367"/>
        <v>0</v>
      </c>
      <c r="K1289" s="408"/>
      <c r="L1289" s="152">
        <v>0</v>
      </c>
      <c r="M1289" s="213"/>
      <c r="N1289" s="402">
        <f t="shared" si="363"/>
        <v>0</v>
      </c>
      <c r="O1289" s="402">
        <f t="shared" si="364"/>
        <v>0</v>
      </c>
      <c r="P1289" s="403"/>
      <c r="Q1289" s="464"/>
      <c r="R1289" s="464"/>
      <c r="S1289" s="402">
        <f t="shared" si="365"/>
        <v>0</v>
      </c>
      <c r="T1289" s="404">
        <f t="shared" si="362"/>
        <v>0</v>
      </c>
      <c r="U1289" s="403"/>
      <c r="V1289" s="160" t="str">
        <f>IF(T1285&gt;0,"xx",IF(O1285&gt;0,"xy",""))</f>
        <v/>
      </c>
      <c r="W1289" s="43" t="str">
        <f t="shared" si="352"/>
        <v/>
      </c>
      <c r="X1289" s="43" t="str">
        <f t="shared" si="359"/>
        <v/>
      </c>
      <c r="Y1289" s="43" t="str">
        <f t="shared" si="369"/>
        <v/>
      </c>
    </row>
    <row r="1290" spans="1:25" hidden="1">
      <c r="A1290" s="155">
        <v>611100</v>
      </c>
      <c r="B1290" s="156" t="s">
        <v>242</v>
      </c>
      <c r="C1290" s="411" t="s">
        <v>506</v>
      </c>
      <c r="D1290" s="351"/>
      <c r="E1290" s="405"/>
      <c r="F1290" s="406"/>
      <c r="G1290" s="158">
        <f>SUM(G1291:G1294)</f>
        <v>68.801680000000005</v>
      </c>
      <c r="H1290" s="465">
        <v>574.83999999999992</v>
      </c>
      <c r="I1290" s="465">
        <f>IF(ISBLANK(H1290),"",SUM(G1290:H1290))</f>
        <v>643.64167999999995</v>
      </c>
      <c r="J1290" s="407">
        <f t="shared" si="367"/>
        <v>816.14</v>
      </c>
      <c r="K1290" s="408" t="s">
        <v>20</v>
      </c>
      <c r="L1290" s="152">
        <v>0</v>
      </c>
      <c r="M1290" s="152"/>
      <c r="N1290" s="402">
        <f t="shared" si="363"/>
        <v>0</v>
      </c>
      <c r="O1290" s="402">
        <f t="shared" si="364"/>
        <v>0</v>
      </c>
      <c r="P1290" s="403"/>
      <c r="Q1290" s="152">
        <f t="shared" si="347"/>
        <v>0</v>
      </c>
      <c r="R1290" s="152">
        <f t="shared" si="347"/>
        <v>0</v>
      </c>
      <c r="S1290" s="402">
        <f t="shared" si="365"/>
        <v>0</v>
      </c>
      <c r="T1290" s="404">
        <f t="shared" si="362"/>
        <v>0</v>
      </c>
      <c r="U1290" s="403"/>
      <c r="W1290" s="43" t="str">
        <f t="shared" si="352"/>
        <v/>
      </c>
      <c r="X1290" s="43" t="str">
        <f t="shared" si="359"/>
        <v/>
      </c>
      <c r="Y1290" s="43" t="str">
        <f t="shared" si="369"/>
        <v/>
      </c>
    </row>
    <row r="1291" spans="1:25" hidden="1">
      <c r="A1291" s="155" t="s">
        <v>183</v>
      </c>
      <c r="B1291" s="156"/>
      <c r="C1291" s="411" t="s">
        <v>251</v>
      </c>
      <c r="D1291" s="351"/>
      <c r="E1291" s="405">
        <v>500</v>
      </c>
      <c r="F1291" s="406">
        <v>9.1700000000000004E-2</v>
      </c>
      <c r="G1291" s="158">
        <f>IF(E1291&lt;=30,(0.42*E1291+3.55)*F1291,((0.42*30+3.55)+0.35*(E1291-30))*F1291)</f>
        <v>16.565605000000001</v>
      </c>
      <c r="H1291" s="465"/>
      <c r="I1291" s="465"/>
      <c r="J1291" s="407">
        <f t="shared" si="367"/>
        <v>0</v>
      </c>
      <c r="K1291" s="408"/>
      <c r="L1291" s="152">
        <v>0</v>
      </c>
      <c r="M1291" s="213"/>
      <c r="N1291" s="402">
        <f t="shared" si="363"/>
        <v>0</v>
      </c>
      <c r="O1291" s="402">
        <f t="shared" si="364"/>
        <v>0</v>
      </c>
      <c r="P1291" s="403"/>
      <c r="Q1291" s="464"/>
      <c r="R1291" s="464"/>
      <c r="S1291" s="402">
        <f t="shared" si="365"/>
        <v>0</v>
      </c>
      <c r="T1291" s="404">
        <f t="shared" si="362"/>
        <v>0</v>
      </c>
      <c r="U1291" s="403"/>
      <c r="V1291" s="160" t="str">
        <f>IF(T1290&gt;0,"xx",IF(O1290&gt;0,"xy",""))</f>
        <v/>
      </c>
      <c r="W1291" s="43" t="str">
        <f t="shared" si="352"/>
        <v/>
      </c>
      <c r="X1291" s="43" t="str">
        <f t="shared" si="359"/>
        <v/>
      </c>
      <c r="Y1291" s="43" t="str">
        <f t="shared" si="369"/>
        <v/>
      </c>
    </row>
    <row r="1292" spans="1:25" hidden="1">
      <c r="A1292" s="155" t="s">
        <v>183</v>
      </c>
      <c r="B1292" s="156"/>
      <c r="C1292" s="411" t="s">
        <v>314</v>
      </c>
      <c r="D1292" s="351"/>
      <c r="E1292" s="405">
        <v>180</v>
      </c>
      <c r="F1292" s="406">
        <v>0.33429999999999999</v>
      </c>
      <c r="G1292" s="158">
        <f t="shared" ref="G1292:G1294" si="374">IF(E1292&lt;=30,(0.6*E1292+1.25)*F1292,((0.6*30+1.25)+0.5*(E1292-30))*F1292)</f>
        <v>31.507774999999999</v>
      </c>
      <c r="H1292" s="465"/>
      <c r="I1292" s="465"/>
      <c r="J1292" s="407">
        <f t="shared" si="367"/>
        <v>0</v>
      </c>
      <c r="K1292" s="408"/>
      <c r="L1292" s="152">
        <v>0</v>
      </c>
      <c r="M1292" s="213"/>
      <c r="N1292" s="402">
        <f t="shared" si="363"/>
        <v>0</v>
      </c>
      <c r="O1292" s="402">
        <f t="shared" si="364"/>
        <v>0</v>
      </c>
      <c r="P1292" s="403"/>
      <c r="Q1292" s="464"/>
      <c r="R1292" s="464"/>
      <c r="S1292" s="402">
        <f t="shared" si="365"/>
        <v>0</v>
      </c>
      <c r="T1292" s="404">
        <f t="shared" si="362"/>
        <v>0</v>
      </c>
      <c r="U1292" s="403"/>
      <c r="V1292" s="160" t="str">
        <f>IF(T1290&gt;0,"xx",IF(O1290&gt;0,"xy",""))</f>
        <v/>
      </c>
      <c r="W1292" s="43" t="str">
        <f t="shared" si="352"/>
        <v/>
      </c>
      <c r="X1292" s="43" t="str">
        <f t="shared" si="359"/>
        <v/>
      </c>
      <c r="Y1292" s="43" t="str">
        <f t="shared" si="369"/>
        <v/>
      </c>
    </row>
    <row r="1293" spans="1:25" hidden="1">
      <c r="A1293" s="155" t="s">
        <v>183</v>
      </c>
      <c r="B1293" s="156"/>
      <c r="C1293" s="411" t="s">
        <v>323</v>
      </c>
      <c r="D1293" s="351"/>
      <c r="E1293" s="405">
        <v>20</v>
      </c>
      <c r="F1293" s="406">
        <v>0.56440000000000001</v>
      </c>
      <c r="G1293" s="158">
        <f t="shared" si="374"/>
        <v>7.4782999999999999</v>
      </c>
      <c r="H1293" s="465"/>
      <c r="I1293" s="465"/>
      <c r="J1293" s="407">
        <f t="shared" si="367"/>
        <v>0</v>
      </c>
      <c r="K1293" s="408"/>
      <c r="L1293" s="152">
        <v>0</v>
      </c>
      <c r="M1293" s="213"/>
      <c r="N1293" s="402">
        <f t="shared" si="363"/>
        <v>0</v>
      </c>
      <c r="O1293" s="402">
        <f t="shared" si="364"/>
        <v>0</v>
      </c>
      <c r="P1293" s="403"/>
      <c r="Q1293" s="464"/>
      <c r="R1293" s="464"/>
      <c r="S1293" s="402">
        <f t="shared" si="365"/>
        <v>0</v>
      </c>
      <c r="T1293" s="404">
        <f t="shared" si="362"/>
        <v>0</v>
      </c>
      <c r="U1293" s="403"/>
      <c r="V1293" s="160" t="str">
        <f>IF(T1290&gt;0,"xx",IF(O1290&gt;0,"xy",""))</f>
        <v/>
      </c>
      <c r="W1293" s="43" t="str">
        <f t="shared" si="352"/>
        <v/>
      </c>
      <c r="X1293" s="43" t="str">
        <f t="shared" si="359"/>
        <v/>
      </c>
      <c r="Y1293" s="43" t="str">
        <f t="shared" si="369"/>
        <v/>
      </c>
    </row>
    <row r="1294" spans="1:25" hidden="1">
      <c r="A1294" s="155" t="s">
        <v>183</v>
      </c>
      <c r="B1294" s="156"/>
      <c r="C1294" s="411" t="s">
        <v>458</v>
      </c>
      <c r="D1294" s="351"/>
      <c r="E1294" s="405">
        <v>20</v>
      </c>
      <c r="F1294" s="406">
        <v>1</v>
      </c>
      <c r="G1294" s="158">
        <f t="shared" si="374"/>
        <v>13.25</v>
      </c>
      <c r="H1294" s="465"/>
      <c r="I1294" s="465"/>
      <c r="J1294" s="407">
        <f t="shared" si="367"/>
        <v>0</v>
      </c>
      <c r="K1294" s="408"/>
      <c r="L1294" s="152">
        <v>0</v>
      </c>
      <c r="M1294" s="213"/>
      <c r="N1294" s="402">
        <f t="shared" si="363"/>
        <v>0</v>
      </c>
      <c r="O1294" s="402">
        <f t="shared" si="364"/>
        <v>0</v>
      </c>
      <c r="P1294" s="403"/>
      <c r="Q1294" s="464"/>
      <c r="R1294" s="464"/>
      <c r="S1294" s="402">
        <f t="shared" si="365"/>
        <v>0</v>
      </c>
      <c r="T1294" s="404">
        <f t="shared" si="362"/>
        <v>0</v>
      </c>
      <c r="U1294" s="403"/>
      <c r="V1294" s="160" t="str">
        <f>IF(T1290&gt;0,"xx",IF(O1290&gt;0,"xy",""))</f>
        <v/>
      </c>
      <c r="W1294" s="43" t="str">
        <f t="shared" si="352"/>
        <v/>
      </c>
      <c r="X1294" s="43" t="str">
        <f t="shared" si="359"/>
        <v/>
      </c>
      <c r="Y1294" s="43" t="str">
        <f t="shared" si="369"/>
        <v/>
      </c>
    </row>
    <row r="1295" spans="1:25" hidden="1">
      <c r="A1295" s="155">
        <v>611300</v>
      </c>
      <c r="B1295" s="156" t="s">
        <v>242</v>
      </c>
      <c r="C1295" s="411" t="s">
        <v>507</v>
      </c>
      <c r="D1295" s="351"/>
      <c r="E1295" s="405"/>
      <c r="F1295" s="406"/>
      <c r="G1295" s="158">
        <f>SUM(G1296:G1299)</f>
        <v>96.084430000000012</v>
      </c>
      <c r="H1295" s="465">
        <v>799.52</v>
      </c>
      <c r="I1295" s="465">
        <f>IF(ISBLANK(H1295),"",SUM(G1295:H1295))*0.95</f>
        <v>850.82420849999994</v>
      </c>
      <c r="J1295" s="407">
        <f t="shared" si="367"/>
        <v>1078.8499999999999</v>
      </c>
      <c r="K1295" s="408" t="s">
        <v>20</v>
      </c>
      <c r="L1295" s="152">
        <v>0</v>
      </c>
      <c r="M1295" s="152"/>
      <c r="N1295" s="402">
        <f t="shared" si="363"/>
        <v>0</v>
      </c>
      <c r="O1295" s="402">
        <f t="shared" si="364"/>
        <v>0</v>
      </c>
      <c r="P1295" s="403"/>
      <c r="Q1295" s="152">
        <f t="shared" si="347"/>
        <v>0</v>
      </c>
      <c r="R1295" s="152">
        <f t="shared" si="347"/>
        <v>0</v>
      </c>
      <c r="S1295" s="402">
        <f t="shared" si="365"/>
        <v>0</v>
      </c>
      <c r="T1295" s="404">
        <f t="shared" si="362"/>
        <v>0</v>
      </c>
      <c r="U1295" s="403"/>
      <c r="W1295" s="43" t="str">
        <f t="shared" si="352"/>
        <v/>
      </c>
      <c r="X1295" s="43" t="str">
        <f t="shared" si="359"/>
        <v/>
      </c>
      <c r="Y1295" s="43" t="str">
        <f t="shared" si="369"/>
        <v/>
      </c>
    </row>
    <row r="1296" spans="1:25" hidden="1">
      <c r="A1296" s="155" t="s">
        <v>183</v>
      </c>
      <c r="B1296" s="156"/>
      <c r="C1296" s="411" t="s">
        <v>251</v>
      </c>
      <c r="D1296" s="351"/>
      <c r="E1296" s="405">
        <v>500</v>
      </c>
      <c r="F1296" s="406">
        <v>0.12720000000000001</v>
      </c>
      <c r="G1296" s="158">
        <f>IF(E1296&lt;=30,(0.42*E1296+3.55)*F1296,((0.42*30+3.55)+0.35*(E1296-30))*F1296)</f>
        <v>22.978680000000001</v>
      </c>
      <c r="H1296" s="465"/>
      <c r="I1296" s="465"/>
      <c r="J1296" s="407">
        <f t="shared" si="367"/>
        <v>0</v>
      </c>
      <c r="K1296" s="408"/>
      <c r="L1296" s="152">
        <v>0</v>
      </c>
      <c r="M1296" s="213"/>
      <c r="N1296" s="402">
        <f t="shared" si="363"/>
        <v>0</v>
      </c>
      <c r="O1296" s="402">
        <f t="shared" si="364"/>
        <v>0</v>
      </c>
      <c r="P1296" s="403"/>
      <c r="Q1296" s="464"/>
      <c r="R1296" s="464"/>
      <c r="S1296" s="402">
        <f t="shared" si="365"/>
        <v>0</v>
      </c>
      <c r="T1296" s="404">
        <f t="shared" si="362"/>
        <v>0</v>
      </c>
      <c r="U1296" s="403"/>
      <c r="V1296" s="160" t="str">
        <f>IF(T1295&gt;0,"xx",IF(O1295&gt;0,"xy",""))</f>
        <v/>
      </c>
      <c r="W1296" s="43" t="str">
        <f t="shared" si="352"/>
        <v/>
      </c>
      <c r="X1296" s="43" t="str">
        <f t="shared" si="359"/>
        <v/>
      </c>
      <c r="Y1296" s="43" t="str">
        <f t="shared" si="369"/>
        <v/>
      </c>
    </row>
    <row r="1297" spans="1:25" hidden="1">
      <c r="A1297" s="155" t="s">
        <v>183</v>
      </c>
      <c r="B1297" s="156"/>
      <c r="C1297" s="411" t="s">
        <v>314</v>
      </c>
      <c r="D1297" s="351"/>
      <c r="E1297" s="405">
        <v>180</v>
      </c>
      <c r="F1297" s="406">
        <v>0.46300000000000002</v>
      </c>
      <c r="G1297" s="158">
        <f t="shared" ref="G1297:G1299" si="375">IF(E1297&lt;=30,(0.6*E1297+1.25)*F1297,((0.6*30+1.25)+0.5*(E1297-30))*F1297)</f>
        <v>43.637750000000004</v>
      </c>
      <c r="H1297" s="465"/>
      <c r="I1297" s="465"/>
      <c r="J1297" s="407">
        <f t="shared" si="367"/>
        <v>0</v>
      </c>
      <c r="K1297" s="408"/>
      <c r="L1297" s="152">
        <v>0</v>
      </c>
      <c r="M1297" s="213"/>
      <c r="N1297" s="402">
        <f t="shared" si="363"/>
        <v>0</v>
      </c>
      <c r="O1297" s="402">
        <f t="shared" si="364"/>
        <v>0</v>
      </c>
      <c r="P1297" s="403"/>
      <c r="Q1297" s="464"/>
      <c r="R1297" s="464"/>
      <c r="S1297" s="402">
        <f t="shared" si="365"/>
        <v>0</v>
      </c>
      <c r="T1297" s="404">
        <f t="shared" si="362"/>
        <v>0</v>
      </c>
      <c r="U1297" s="403"/>
      <c r="V1297" s="160" t="str">
        <f>IF(T1295&gt;0,"xx",IF(O1295&gt;0,"xy",""))</f>
        <v/>
      </c>
      <c r="W1297" s="43" t="str">
        <f t="shared" si="352"/>
        <v/>
      </c>
      <c r="X1297" s="43" t="str">
        <f t="shared" si="359"/>
        <v/>
      </c>
      <c r="Y1297" s="43" t="str">
        <f t="shared" si="369"/>
        <v/>
      </c>
    </row>
    <row r="1298" spans="1:25" hidden="1">
      <c r="A1298" s="155" t="s">
        <v>183</v>
      </c>
      <c r="B1298" s="156"/>
      <c r="C1298" s="411" t="s">
        <v>323</v>
      </c>
      <c r="D1298" s="351"/>
      <c r="E1298" s="405">
        <v>20</v>
      </c>
      <c r="F1298" s="406">
        <v>0.78400000000000003</v>
      </c>
      <c r="G1298" s="158">
        <f t="shared" si="375"/>
        <v>10.388</v>
      </c>
      <c r="H1298" s="465"/>
      <c r="I1298" s="465"/>
      <c r="J1298" s="407">
        <f t="shared" si="367"/>
        <v>0</v>
      </c>
      <c r="K1298" s="408"/>
      <c r="L1298" s="152">
        <v>0</v>
      </c>
      <c r="M1298" s="213"/>
      <c r="N1298" s="402">
        <f t="shared" si="363"/>
        <v>0</v>
      </c>
      <c r="O1298" s="402">
        <f t="shared" si="364"/>
        <v>0</v>
      </c>
      <c r="P1298" s="403"/>
      <c r="Q1298" s="464"/>
      <c r="R1298" s="464"/>
      <c r="S1298" s="402">
        <f t="shared" si="365"/>
        <v>0</v>
      </c>
      <c r="T1298" s="404">
        <f t="shared" si="362"/>
        <v>0</v>
      </c>
      <c r="U1298" s="403"/>
      <c r="V1298" s="160" t="str">
        <f>IF(T1295&gt;0,"xx",IF(O1295&gt;0,"xy",""))</f>
        <v/>
      </c>
      <c r="W1298" s="43" t="str">
        <f t="shared" ref="W1298:W1383" si="376">IF(V1298="X","x",IF(V1298="xx","x",IF(V1298="xy","x",IF(V1298="y","x",IF(OR(O1298&gt;0,T1298&gt;0),"x","")))))</f>
        <v/>
      </c>
      <c r="X1298" s="43" t="str">
        <f t="shared" si="359"/>
        <v/>
      </c>
      <c r="Y1298" s="43" t="str">
        <f t="shared" si="369"/>
        <v/>
      </c>
    </row>
    <row r="1299" spans="1:25" hidden="1">
      <c r="A1299" s="155" t="s">
        <v>183</v>
      </c>
      <c r="B1299" s="156"/>
      <c r="C1299" s="411" t="s">
        <v>458</v>
      </c>
      <c r="D1299" s="351"/>
      <c r="E1299" s="405">
        <v>20</v>
      </c>
      <c r="F1299" s="406">
        <v>1.44</v>
      </c>
      <c r="G1299" s="158">
        <f t="shared" si="375"/>
        <v>19.079999999999998</v>
      </c>
      <c r="H1299" s="465"/>
      <c r="I1299" s="465"/>
      <c r="J1299" s="407">
        <f t="shared" si="367"/>
        <v>0</v>
      </c>
      <c r="K1299" s="408"/>
      <c r="L1299" s="152">
        <v>0</v>
      </c>
      <c r="M1299" s="213"/>
      <c r="N1299" s="402">
        <f t="shared" si="363"/>
        <v>0</v>
      </c>
      <c r="O1299" s="402">
        <f t="shared" si="364"/>
        <v>0</v>
      </c>
      <c r="P1299" s="403"/>
      <c r="Q1299" s="464"/>
      <c r="R1299" s="464"/>
      <c r="S1299" s="402">
        <f t="shared" si="365"/>
        <v>0</v>
      </c>
      <c r="T1299" s="404">
        <f t="shared" si="362"/>
        <v>0</v>
      </c>
      <c r="U1299" s="403"/>
      <c r="V1299" s="160" t="str">
        <f>IF(T1295&gt;0,"xx",IF(O1295&gt;0,"xy",""))</f>
        <v/>
      </c>
      <c r="W1299" s="43" t="str">
        <f t="shared" si="376"/>
        <v/>
      </c>
      <c r="X1299" s="43" t="str">
        <f t="shared" si="359"/>
        <v/>
      </c>
      <c r="Y1299" s="43" t="str">
        <f t="shared" si="369"/>
        <v/>
      </c>
    </row>
    <row r="1300" spans="1:25" hidden="1">
      <c r="A1300" s="155">
        <v>611500</v>
      </c>
      <c r="B1300" s="156" t="s">
        <v>242</v>
      </c>
      <c r="C1300" s="411" t="s">
        <v>508</v>
      </c>
      <c r="D1300" s="351"/>
      <c r="E1300" s="405"/>
      <c r="F1300" s="406"/>
      <c r="G1300" s="158">
        <f>SUM(G1301:G1304)</f>
        <v>134.96899999999999</v>
      </c>
      <c r="H1300" s="465">
        <v>1140.46</v>
      </c>
      <c r="I1300" s="465">
        <f>IF(ISBLANK(H1300),"",SUM(G1300:H1300))</f>
        <v>1275.4290000000001</v>
      </c>
      <c r="J1300" s="407">
        <f t="shared" si="367"/>
        <v>1617.24</v>
      </c>
      <c r="K1300" s="408" t="s">
        <v>20</v>
      </c>
      <c r="L1300" s="152">
        <v>0</v>
      </c>
      <c r="M1300" s="152"/>
      <c r="N1300" s="402">
        <f t="shared" si="363"/>
        <v>0</v>
      </c>
      <c r="O1300" s="402">
        <f t="shared" si="364"/>
        <v>0</v>
      </c>
      <c r="P1300" s="403"/>
      <c r="Q1300" s="152">
        <f t="shared" ref="Q1300:R1363" si="377">L1300</f>
        <v>0</v>
      </c>
      <c r="R1300" s="152">
        <f t="shared" si="377"/>
        <v>0</v>
      </c>
      <c r="S1300" s="402">
        <f t="shared" si="365"/>
        <v>0</v>
      </c>
      <c r="T1300" s="404">
        <f t="shared" si="362"/>
        <v>0</v>
      </c>
      <c r="U1300" s="403"/>
      <c r="W1300" s="43" t="str">
        <f t="shared" si="376"/>
        <v/>
      </c>
      <c r="X1300" s="43" t="str">
        <f t="shared" si="359"/>
        <v/>
      </c>
      <c r="Y1300" s="43" t="str">
        <f t="shared" si="369"/>
        <v/>
      </c>
    </row>
    <row r="1301" spans="1:25" hidden="1">
      <c r="A1301" s="155" t="s">
        <v>183</v>
      </c>
      <c r="B1301" s="156"/>
      <c r="C1301" s="411" t="s">
        <v>251</v>
      </c>
      <c r="D1301" s="351"/>
      <c r="E1301" s="405">
        <v>500</v>
      </c>
      <c r="F1301" s="406">
        <v>0.187</v>
      </c>
      <c r="G1301" s="158">
        <f>IF(E1301&lt;=30,(0.42*E1301+3.55)*F1301,((0.42*30+3.55)+0.35*(E1301-30))*F1301)</f>
        <v>33.781550000000003</v>
      </c>
      <c r="H1301" s="465"/>
      <c r="I1301" s="465"/>
      <c r="J1301" s="407">
        <f t="shared" si="367"/>
        <v>0</v>
      </c>
      <c r="K1301" s="408"/>
      <c r="L1301" s="152">
        <v>0</v>
      </c>
      <c r="M1301" s="213"/>
      <c r="N1301" s="402">
        <f t="shared" si="363"/>
        <v>0</v>
      </c>
      <c r="O1301" s="402">
        <f t="shared" si="364"/>
        <v>0</v>
      </c>
      <c r="P1301" s="403"/>
      <c r="Q1301" s="464"/>
      <c r="R1301" s="464"/>
      <c r="S1301" s="402">
        <f t="shared" si="365"/>
        <v>0</v>
      </c>
      <c r="T1301" s="404">
        <f t="shared" si="362"/>
        <v>0</v>
      </c>
      <c r="U1301" s="403"/>
      <c r="V1301" s="160" t="str">
        <f>IF(T1300&gt;0,"xx",IF(O1300&gt;0,"xy",""))</f>
        <v/>
      </c>
      <c r="W1301" s="43" t="str">
        <f t="shared" si="376"/>
        <v/>
      </c>
      <c r="X1301" s="43" t="str">
        <f t="shared" si="359"/>
        <v/>
      </c>
      <c r="Y1301" s="43" t="str">
        <f t="shared" si="369"/>
        <v/>
      </c>
    </row>
    <row r="1302" spans="1:25" hidden="1">
      <c r="A1302" s="155" t="s">
        <v>183</v>
      </c>
      <c r="B1302" s="156"/>
      <c r="C1302" s="411" t="s">
        <v>314</v>
      </c>
      <c r="D1302" s="351"/>
      <c r="E1302" s="405">
        <v>180</v>
      </c>
      <c r="F1302" s="406">
        <v>0.67830000000000001</v>
      </c>
      <c r="G1302" s="158">
        <f t="shared" ref="G1302:G1304" si="378">IF(E1302&lt;=30,(0.6*E1302+1.25)*F1302,((0.6*30+1.25)+0.5*(E1302-30))*F1302)</f>
        <v>63.929774999999999</v>
      </c>
      <c r="H1302" s="465"/>
      <c r="I1302" s="465"/>
      <c r="J1302" s="407">
        <f t="shared" si="367"/>
        <v>0</v>
      </c>
      <c r="K1302" s="408"/>
      <c r="L1302" s="152">
        <v>0</v>
      </c>
      <c r="M1302" s="213"/>
      <c r="N1302" s="402">
        <f t="shared" si="363"/>
        <v>0</v>
      </c>
      <c r="O1302" s="402">
        <f t="shared" si="364"/>
        <v>0</v>
      </c>
      <c r="P1302" s="403"/>
      <c r="Q1302" s="464"/>
      <c r="R1302" s="464"/>
      <c r="S1302" s="402">
        <f t="shared" si="365"/>
        <v>0</v>
      </c>
      <c r="T1302" s="404">
        <f t="shared" si="362"/>
        <v>0</v>
      </c>
      <c r="U1302" s="403"/>
      <c r="V1302" s="160" t="str">
        <f>IF(T1300&gt;0,"xx",IF(O1300&gt;0,"xy",""))</f>
        <v/>
      </c>
      <c r="W1302" s="43" t="str">
        <f t="shared" si="376"/>
        <v/>
      </c>
      <c r="X1302" s="43" t="str">
        <f t="shared" si="359"/>
        <v/>
      </c>
      <c r="Y1302" s="43" t="str">
        <f t="shared" si="369"/>
        <v/>
      </c>
    </row>
    <row r="1303" spans="1:25" hidden="1">
      <c r="A1303" s="155" t="s">
        <v>183</v>
      </c>
      <c r="B1303" s="156"/>
      <c r="C1303" s="411" t="s">
        <v>323</v>
      </c>
      <c r="D1303" s="351"/>
      <c r="E1303" s="405">
        <v>20</v>
      </c>
      <c r="F1303" s="406">
        <v>1.1618999999999999</v>
      </c>
      <c r="G1303" s="158">
        <f t="shared" si="378"/>
        <v>15.395174999999998</v>
      </c>
      <c r="H1303" s="465"/>
      <c r="I1303" s="465"/>
      <c r="J1303" s="407">
        <f t="shared" si="367"/>
        <v>0</v>
      </c>
      <c r="K1303" s="408"/>
      <c r="L1303" s="152">
        <v>0</v>
      </c>
      <c r="M1303" s="213"/>
      <c r="N1303" s="402">
        <f t="shared" si="363"/>
        <v>0</v>
      </c>
      <c r="O1303" s="402">
        <f t="shared" si="364"/>
        <v>0</v>
      </c>
      <c r="P1303" s="403"/>
      <c r="Q1303" s="464"/>
      <c r="R1303" s="464"/>
      <c r="S1303" s="402">
        <f t="shared" si="365"/>
        <v>0</v>
      </c>
      <c r="T1303" s="404">
        <f t="shared" si="362"/>
        <v>0</v>
      </c>
      <c r="U1303" s="403"/>
      <c r="V1303" s="160" t="str">
        <f>IF(T1300&gt;0,"xx",IF(O1300&gt;0,"xy",""))</f>
        <v/>
      </c>
      <c r="W1303" s="43" t="str">
        <f t="shared" si="376"/>
        <v/>
      </c>
      <c r="X1303" s="43" t="str">
        <f t="shared" si="359"/>
        <v/>
      </c>
      <c r="Y1303" s="43" t="str">
        <f t="shared" si="369"/>
        <v/>
      </c>
    </row>
    <row r="1304" spans="1:25" hidden="1">
      <c r="A1304" s="155" t="s">
        <v>183</v>
      </c>
      <c r="B1304" s="156"/>
      <c r="C1304" s="411" t="s">
        <v>458</v>
      </c>
      <c r="D1304" s="351"/>
      <c r="E1304" s="405">
        <v>20</v>
      </c>
      <c r="F1304" s="406">
        <v>1.65</v>
      </c>
      <c r="G1304" s="158">
        <f t="shared" si="378"/>
        <v>21.862499999999997</v>
      </c>
      <c r="H1304" s="465"/>
      <c r="I1304" s="465"/>
      <c r="J1304" s="407">
        <f t="shared" si="367"/>
        <v>0</v>
      </c>
      <c r="K1304" s="408"/>
      <c r="L1304" s="152">
        <v>0</v>
      </c>
      <c r="M1304" s="213"/>
      <c r="N1304" s="402">
        <f t="shared" si="363"/>
        <v>0</v>
      </c>
      <c r="O1304" s="402">
        <f t="shared" si="364"/>
        <v>0</v>
      </c>
      <c r="P1304" s="403"/>
      <c r="Q1304" s="464"/>
      <c r="R1304" s="464"/>
      <c r="S1304" s="402">
        <f t="shared" si="365"/>
        <v>0</v>
      </c>
      <c r="T1304" s="404">
        <f t="shared" si="362"/>
        <v>0</v>
      </c>
      <c r="U1304" s="403"/>
      <c r="V1304" s="160" t="str">
        <f>IF(T1300&gt;0,"xx",IF(O1300&gt;0,"xy",""))</f>
        <v/>
      </c>
      <c r="W1304" s="43" t="str">
        <f t="shared" si="376"/>
        <v/>
      </c>
      <c r="X1304" s="43" t="str">
        <f t="shared" si="359"/>
        <v/>
      </c>
      <c r="Y1304" s="43" t="str">
        <f t="shared" si="369"/>
        <v/>
      </c>
    </row>
    <row r="1305" spans="1:25" hidden="1">
      <c r="A1305" s="155" t="s">
        <v>155</v>
      </c>
      <c r="B1305" s="156" t="s">
        <v>242</v>
      </c>
      <c r="C1305" s="411" t="s">
        <v>509</v>
      </c>
      <c r="D1305" s="351"/>
      <c r="E1305" s="405"/>
      <c r="F1305" s="406"/>
      <c r="G1305" s="158">
        <f>SUM(G1306:G1309)</f>
        <v>184.50391500000001</v>
      </c>
      <c r="H1305" s="465">
        <v>1601.8935999999999</v>
      </c>
      <c r="I1305" s="465">
        <f>IF(ISBLANK(H1305),"",SUM(G1305:H1305))*0.95</f>
        <v>1697.0776392499997</v>
      </c>
      <c r="J1305" s="407">
        <f t="shared" si="367"/>
        <v>2151.89</v>
      </c>
      <c r="K1305" s="408" t="s">
        <v>20</v>
      </c>
      <c r="L1305" s="152">
        <v>0</v>
      </c>
      <c r="M1305" s="152"/>
      <c r="N1305" s="402">
        <f t="shared" si="363"/>
        <v>0</v>
      </c>
      <c r="O1305" s="402">
        <f t="shared" si="364"/>
        <v>0</v>
      </c>
      <c r="P1305" s="403"/>
      <c r="Q1305" s="152">
        <f t="shared" si="377"/>
        <v>0</v>
      </c>
      <c r="R1305" s="152">
        <f t="shared" si="377"/>
        <v>0</v>
      </c>
      <c r="S1305" s="402">
        <f t="shared" si="365"/>
        <v>0</v>
      </c>
      <c r="T1305" s="404">
        <f t="shared" si="362"/>
        <v>0</v>
      </c>
      <c r="U1305" s="403"/>
      <c r="W1305" s="43" t="str">
        <f t="shared" si="376"/>
        <v/>
      </c>
      <c r="X1305" s="43" t="str">
        <f t="shared" si="359"/>
        <v/>
      </c>
      <c r="Y1305" s="43" t="str">
        <f t="shared" si="369"/>
        <v/>
      </c>
    </row>
    <row r="1306" spans="1:25" hidden="1">
      <c r="A1306" s="155" t="s">
        <v>183</v>
      </c>
      <c r="B1306" s="156"/>
      <c r="C1306" s="411" t="s">
        <v>251</v>
      </c>
      <c r="D1306" s="351"/>
      <c r="E1306" s="405">
        <v>500</v>
      </c>
      <c r="F1306" s="406">
        <v>0.27410000000000001</v>
      </c>
      <c r="G1306" s="158">
        <f>IF(E1306&lt;=30,(0.42*E1306+3.55)*F1306,((0.42*30+3.55)+0.35*(E1306-30))*F1306)</f>
        <v>49.516165000000001</v>
      </c>
      <c r="H1306" s="465"/>
      <c r="I1306" s="465"/>
      <c r="J1306" s="407">
        <f t="shared" si="367"/>
        <v>0</v>
      </c>
      <c r="K1306" s="408"/>
      <c r="L1306" s="152">
        <v>0</v>
      </c>
      <c r="M1306" s="213"/>
      <c r="N1306" s="402">
        <f t="shared" si="363"/>
        <v>0</v>
      </c>
      <c r="O1306" s="402">
        <f t="shared" si="364"/>
        <v>0</v>
      </c>
      <c r="P1306" s="403"/>
      <c r="Q1306" s="464"/>
      <c r="R1306" s="464"/>
      <c r="S1306" s="402">
        <f t="shared" si="365"/>
        <v>0</v>
      </c>
      <c r="T1306" s="404">
        <f t="shared" si="362"/>
        <v>0</v>
      </c>
      <c r="U1306" s="403"/>
      <c r="V1306" s="160" t="str">
        <f>IF(T1305&gt;0,"xx",IF(O1305&gt;0,"xy",""))</f>
        <v/>
      </c>
      <c r="W1306" s="43" t="str">
        <f t="shared" si="376"/>
        <v/>
      </c>
      <c r="X1306" s="43" t="str">
        <f t="shared" si="359"/>
        <v/>
      </c>
      <c r="Y1306" s="43" t="str">
        <f t="shared" si="369"/>
        <v/>
      </c>
    </row>
    <row r="1307" spans="1:25" hidden="1">
      <c r="A1307" s="155" t="s">
        <v>183</v>
      </c>
      <c r="B1307" s="156"/>
      <c r="C1307" s="411" t="s">
        <v>314</v>
      </c>
      <c r="D1307" s="351"/>
      <c r="E1307" s="405">
        <v>180</v>
      </c>
      <c r="F1307" s="406">
        <v>0.9748</v>
      </c>
      <c r="G1307" s="158">
        <f t="shared" ref="G1307:G1309" si="379">IF(E1307&lt;=30,(0.6*E1307+1.25)*F1307,((0.6*30+1.25)+0.5*(E1307-30))*F1307)</f>
        <v>91.874899999999997</v>
      </c>
      <c r="H1307" s="465"/>
      <c r="I1307" s="465"/>
      <c r="J1307" s="407">
        <f t="shared" si="367"/>
        <v>0</v>
      </c>
      <c r="K1307" s="408"/>
      <c r="L1307" s="152">
        <v>0</v>
      </c>
      <c r="M1307" s="213"/>
      <c r="N1307" s="402">
        <f t="shared" si="363"/>
        <v>0</v>
      </c>
      <c r="O1307" s="402">
        <f t="shared" si="364"/>
        <v>0</v>
      </c>
      <c r="P1307" s="403"/>
      <c r="Q1307" s="464"/>
      <c r="R1307" s="464"/>
      <c r="S1307" s="402">
        <f t="shared" si="365"/>
        <v>0</v>
      </c>
      <c r="T1307" s="404">
        <f t="shared" si="362"/>
        <v>0</v>
      </c>
      <c r="U1307" s="403"/>
      <c r="V1307" s="160" t="str">
        <f>IF(T1305&gt;0,"xx",IF(O1305&gt;0,"xy",""))</f>
        <v/>
      </c>
      <c r="W1307" s="43" t="str">
        <f t="shared" si="376"/>
        <v/>
      </c>
      <c r="X1307" s="43" t="str">
        <f t="shared" si="359"/>
        <v/>
      </c>
      <c r="Y1307" s="43" t="str">
        <f t="shared" si="369"/>
        <v/>
      </c>
    </row>
    <row r="1308" spans="1:25" hidden="1">
      <c r="A1308" s="155" t="s">
        <v>183</v>
      </c>
      <c r="B1308" s="156"/>
      <c r="C1308" s="411" t="s">
        <v>323</v>
      </c>
      <c r="D1308" s="351"/>
      <c r="E1308" s="405">
        <v>20</v>
      </c>
      <c r="F1308" s="406">
        <v>2.2538</v>
      </c>
      <c r="G1308" s="158">
        <f t="shared" si="379"/>
        <v>29.862850000000002</v>
      </c>
      <c r="H1308" s="465"/>
      <c r="I1308" s="465"/>
      <c r="J1308" s="407">
        <f t="shared" si="367"/>
        <v>0</v>
      </c>
      <c r="K1308" s="408"/>
      <c r="L1308" s="152">
        <v>0</v>
      </c>
      <c r="M1308" s="213"/>
      <c r="N1308" s="402">
        <f t="shared" si="363"/>
        <v>0</v>
      </c>
      <c r="O1308" s="402">
        <f t="shared" si="364"/>
        <v>0</v>
      </c>
      <c r="P1308" s="403"/>
      <c r="Q1308" s="464"/>
      <c r="R1308" s="464"/>
      <c r="S1308" s="402">
        <f t="shared" si="365"/>
        <v>0</v>
      </c>
      <c r="T1308" s="404">
        <f t="shared" si="362"/>
        <v>0</v>
      </c>
      <c r="U1308" s="403"/>
      <c r="V1308" s="160" t="str">
        <f>IF(T1305&gt;0,"xx",IF(O1305&gt;0,"xy",""))</f>
        <v/>
      </c>
      <c r="W1308" s="43" t="str">
        <f t="shared" si="376"/>
        <v/>
      </c>
      <c r="X1308" s="43" t="str">
        <f t="shared" si="359"/>
        <v/>
      </c>
      <c r="Y1308" s="43" t="str">
        <f t="shared" si="369"/>
        <v/>
      </c>
    </row>
    <row r="1309" spans="1:25" hidden="1">
      <c r="A1309" s="155" t="s">
        <v>183</v>
      </c>
      <c r="B1309" s="156"/>
      <c r="C1309" s="411" t="s">
        <v>458</v>
      </c>
      <c r="D1309" s="351"/>
      <c r="E1309" s="405">
        <v>20</v>
      </c>
      <c r="F1309" s="406">
        <v>1</v>
      </c>
      <c r="G1309" s="158">
        <f t="shared" si="379"/>
        <v>13.25</v>
      </c>
      <c r="H1309" s="465"/>
      <c r="I1309" s="465"/>
      <c r="J1309" s="407">
        <f t="shared" si="367"/>
        <v>0</v>
      </c>
      <c r="K1309" s="408"/>
      <c r="L1309" s="152">
        <v>0</v>
      </c>
      <c r="M1309" s="213"/>
      <c r="N1309" s="402">
        <f t="shared" si="363"/>
        <v>0</v>
      </c>
      <c r="O1309" s="402">
        <f t="shared" si="364"/>
        <v>0</v>
      </c>
      <c r="P1309" s="403"/>
      <c r="Q1309" s="464"/>
      <c r="R1309" s="464"/>
      <c r="S1309" s="402">
        <f t="shared" si="365"/>
        <v>0</v>
      </c>
      <c r="T1309" s="404">
        <f t="shared" si="362"/>
        <v>0</v>
      </c>
      <c r="U1309" s="403"/>
      <c r="V1309" s="160" t="str">
        <f>IF(T1305&gt;0,"xx",IF(O1305&gt;0,"xy",""))</f>
        <v/>
      </c>
      <c r="W1309" s="43" t="str">
        <f t="shared" si="376"/>
        <v/>
      </c>
      <c r="X1309" s="43" t="str">
        <f t="shared" si="359"/>
        <v/>
      </c>
      <c r="Y1309" s="43" t="str">
        <f t="shared" si="369"/>
        <v/>
      </c>
    </row>
    <row r="1310" spans="1:25" hidden="1">
      <c r="A1310" s="155">
        <v>611700</v>
      </c>
      <c r="B1310" s="156" t="s">
        <v>242</v>
      </c>
      <c r="C1310" s="411" t="s">
        <v>510</v>
      </c>
      <c r="D1310" s="351"/>
      <c r="E1310" s="405"/>
      <c r="F1310" s="406"/>
      <c r="G1310" s="158">
        <f>SUM(G1311:G1314)</f>
        <v>213.42808000000002</v>
      </c>
      <c r="H1310" s="465">
        <v>2582.4399999999996</v>
      </c>
      <c r="I1310" s="465">
        <f>IF(ISBLANK(H1310),"",SUM(G1310:H1310))*0.95</f>
        <v>2656.0746759999997</v>
      </c>
      <c r="J1310" s="407">
        <f t="shared" si="367"/>
        <v>3367.9</v>
      </c>
      <c r="K1310" s="408" t="s">
        <v>20</v>
      </c>
      <c r="L1310" s="152">
        <v>0</v>
      </c>
      <c r="M1310" s="152"/>
      <c r="N1310" s="402">
        <f t="shared" si="363"/>
        <v>0</v>
      </c>
      <c r="O1310" s="402">
        <f t="shared" si="364"/>
        <v>0</v>
      </c>
      <c r="P1310" s="403"/>
      <c r="Q1310" s="152">
        <f t="shared" si="377"/>
        <v>0</v>
      </c>
      <c r="R1310" s="152">
        <f t="shared" si="377"/>
        <v>0</v>
      </c>
      <c r="S1310" s="402">
        <f t="shared" si="365"/>
        <v>0</v>
      </c>
      <c r="T1310" s="404">
        <f t="shared" si="362"/>
        <v>0</v>
      </c>
      <c r="U1310" s="403"/>
      <c r="W1310" s="43" t="str">
        <f t="shared" si="376"/>
        <v/>
      </c>
      <c r="X1310" s="43" t="str">
        <f t="shared" si="359"/>
        <v/>
      </c>
      <c r="Y1310" s="43" t="str">
        <f t="shared" si="369"/>
        <v/>
      </c>
    </row>
    <row r="1311" spans="1:25" hidden="1">
      <c r="A1311" s="155" t="s">
        <v>183</v>
      </c>
      <c r="B1311" s="156"/>
      <c r="C1311" s="411" t="s">
        <v>251</v>
      </c>
      <c r="D1311" s="351"/>
      <c r="E1311" s="405">
        <v>500</v>
      </c>
      <c r="F1311" s="406">
        <v>0.30620000000000003</v>
      </c>
      <c r="G1311" s="158">
        <f>IF(E1311&lt;=30,(0.42*E1311+3.55)*F1311,((0.42*30+3.55)+0.35*(E1311-30))*F1311)</f>
        <v>55.315030000000007</v>
      </c>
      <c r="H1311" s="465"/>
      <c r="I1311" s="465"/>
      <c r="J1311" s="407">
        <f t="shared" si="367"/>
        <v>0</v>
      </c>
      <c r="K1311" s="408"/>
      <c r="L1311" s="152">
        <v>0</v>
      </c>
      <c r="M1311" s="213"/>
      <c r="N1311" s="402">
        <f t="shared" si="363"/>
        <v>0</v>
      </c>
      <c r="O1311" s="402">
        <f t="shared" si="364"/>
        <v>0</v>
      </c>
      <c r="P1311" s="403"/>
      <c r="Q1311" s="464"/>
      <c r="R1311" s="464"/>
      <c r="S1311" s="402">
        <f t="shared" si="365"/>
        <v>0</v>
      </c>
      <c r="T1311" s="404">
        <f t="shared" si="362"/>
        <v>0</v>
      </c>
      <c r="U1311" s="403"/>
      <c r="V1311" s="160" t="str">
        <f>IF(T1310&gt;0,"xx",IF(O1310&gt;0,"xy",""))</f>
        <v/>
      </c>
      <c r="W1311" s="43" t="str">
        <f t="shared" si="376"/>
        <v/>
      </c>
      <c r="X1311" s="43" t="str">
        <f t="shared" si="359"/>
        <v/>
      </c>
      <c r="Y1311" s="43" t="str">
        <f t="shared" si="369"/>
        <v/>
      </c>
    </row>
    <row r="1312" spans="1:25" hidden="1">
      <c r="A1312" s="155" t="s">
        <v>183</v>
      </c>
      <c r="B1312" s="156"/>
      <c r="C1312" s="411" t="s">
        <v>314</v>
      </c>
      <c r="D1312" s="351"/>
      <c r="E1312" s="405">
        <v>180</v>
      </c>
      <c r="F1312" s="406">
        <v>1.1047</v>
      </c>
      <c r="G1312" s="158">
        <f t="shared" ref="G1312:G1314" si="380">IF(E1312&lt;=30,(0.6*E1312+1.25)*F1312,((0.6*30+1.25)+0.5*(E1312-30))*F1312)</f>
        <v>104.117975</v>
      </c>
      <c r="H1312" s="465"/>
      <c r="I1312" s="465"/>
      <c r="J1312" s="407">
        <f t="shared" si="367"/>
        <v>0</v>
      </c>
      <c r="K1312" s="408"/>
      <c r="L1312" s="152">
        <v>0</v>
      </c>
      <c r="M1312" s="213"/>
      <c r="N1312" s="402">
        <f t="shared" si="363"/>
        <v>0</v>
      </c>
      <c r="O1312" s="402">
        <f t="shared" si="364"/>
        <v>0</v>
      </c>
      <c r="P1312" s="403"/>
      <c r="Q1312" s="464"/>
      <c r="R1312" s="464"/>
      <c r="S1312" s="402">
        <f t="shared" si="365"/>
        <v>0</v>
      </c>
      <c r="T1312" s="404">
        <f t="shared" si="362"/>
        <v>0</v>
      </c>
      <c r="U1312" s="403"/>
      <c r="V1312" s="160" t="str">
        <f>IF(T1310&gt;0,"xx",IF(O1310&gt;0,"xy",""))</f>
        <v/>
      </c>
      <c r="W1312" s="43" t="str">
        <f t="shared" si="376"/>
        <v/>
      </c>
      <c r="X1312" s="43" t="str">
        <f t="shared" si="359"/>
        <v/>
      </c>
      <c r="Y1312" s="43" t="str">
        <f t="shared" si="369"/>
        <v/>
      </c>
    </row>
    <row r="1313" spans="1:25" hidden="1">
      <c r="A1313" s="155" t="s">
        <v>183</v>
      </c>
      <c r="B1313" s="156"/>
      <c r="C1313" s="411" t="s">
        <v>323</v>
      </c>
      <c r="D1313" s="351"/>
      <c r="E1313" s="405">
        <v>20</v>
      </c>
      <c r="F1313" s="406">
        <v>1.9251</v>
      </c>
      <c r="G1313" s="158">
        <f t="shared" si="380"/>
        <v>25.507574999999999</v>
      </c>
      <c r="H1313" s="465"/>
      <c r="I1313" s="465"/>
      <c r="J1313" s="407">
        <f t="shared" si="367"/>
        <v>0</v>
      </c>
      <c r="K1313" s="408"/>
      <c r="L1313" s="152">
        <v>0</v>
      </c>
      <c r="M1313" s="213"/>
      <c r="N1313" s="402">
        <f t="shared" si="363"/>
        <v>0</v>
      </c>
      <c r="O1313" s="402">
        <f t="shared" si="364"/>
        <v>0</v>
      </c>
      <c r="P1313" s="403"/>
      <c r="Q1313" s="464"/>
      <c r="R1313" s="464"/>
      <c r="S1313" s="402">
        <f t="shared" si="365"/>
        <v>0</v>
      </c>
      <c r="T1313" s="404">
        <f t="shared" si="362"/>
        <v>0</v>
      </c>
      <c r="U1313" s="403"/>
      <c r="V1313" s="160" t="str">
        <f>IF(T1310&gt;0,"xx",IF(O1310&gt;0,"xy",""))</f>
        <v/>
      </c>
      <c r="W1313" s="43" t="str">
        <f t="shared" si="376"/>
        <v/>
      </c>
      <c r="X1313" s="43" t="str">
        <f t="shared" si="359"/>
        <v/>
      </c>
      <c r="Y1313" s="43" t="str">
        <f t="shared" si="369"/>
        <v/>
      </c>
    </row>
    <row r="1314" spans="1:25" hidden="1">
      <c r="A1314" s="155" t="s">
        <v>183</v>
      </c>
      <c r="B1314" s="156"/>
      <c r="C1314" s="411" t="s">
        <v>458</v>
      </c>
      <c r="D1314" s="351"/>
      <c r="E1314" s="405">
        <v>20</v>
      </c>
      <c r="F1314" s="406">
        <v>2.15</v>
      </c>
      <c r="G1314" s="158">
        <f t="shared" si="380"/>
        <v>28.487499999999997</v>
      </c>
      <c r="H1314" s="465"/>
      <c r="I1314" s="465"/>
      <c r="J1314" s="407">
        <f t="shared" si="367"/>
        <v>0</v>
      </c>
      <c r="K1314" s="408"/>
      <c r="L1314" s="152">
        <v>0</v>
      </c>
      <c r="M1314" s="213"/>
      <c r="N1314" s="402">
        <f t="shared" si="363"/>
        <v>0</v>
      </c>
      <c r="O1314" s="402">
        <f t="shared" si="364"/>
        <v>0</v>
      </c>
      <c r="P1314" s="403"/>
      <c r="Q1314" s="464"/>
      <c r="R1314" s="464"/>
      <c r="S1314" s="402">
        <f t="shared" si="365"/>
        <v>0</v>
      </c>
      <c r="T1314" s="404">
        <f t="shared" si="362"/>
        <v>0</v>
      </c>
      <c r="U1314" s="403"/>
      <c r="V1314" s="160" t="str">
        <f>IF(T1310&gt;0,"xx",IF(O1310&gt;0,"xy",""))</f>
        <v/>
      </c>
      <c r="W1314" s="43" t="str">
        <f t="shared" si="376"/>
        <v/>
      </c>
      <c r="X1314" s="43" t="str">
        <f t="shared" si="359"/>
        <v/>
      </c>
      <c r="Y1314" s="43" t="str">
        <f t="shared" si="369"/>
        <v/>
      </c>
    </row>
    <row r="1315" spans="1:25">
      <c r="A1315" s="155" t="s">
        <v>27</v>
      </c>
      <c r="B1315" s="156" t="s">
        <v>242</v>
      </c>
      <c r="C1315" s="411" t="s">
        <v>72</v>
      </c>
      <c r="D1315" s="351"/>
      <c r="E1315" s="473"/>
      <c r="F1315" s="406"/>
      <c r="G1315" s="158">
        <f>SUM(G1316:G1320)</f>
        <v>118.42843246000002</v>
      </c>
      <c r="H1315" s="465">
        <f>VLOOKUP(C1315,'ENSAIOS DE ORÇAMENTO'!$C$3:$L$79,8,FALSE)</f>
        <v>737.50622799999996</v>
      </c>
      <c r="I1315" s="465">
        <f>IF(ISBLANK(H1315),"",SUM(G1315:H1315))</f>
        <v>855.93466046000003</v>
      </c>
      <c r="J1315" s="407">
        <f t="shared" si="367"/>
        <v>1085.33</v>
      </c>
      <c r="K1315" s="408" t="s">
        <v>23</v>
      </c>
      <c r="L1315" s="152">
        <v>22</v>
      </c>
      <c r="M1315" s="152">
        <v>1050</v>
      </c>
      <c r="N1315" s="402">
        <f t="shared" si="363"/>
        <v>23877.26</v>
      </c>
      <c r="O1315" s="402">
        <f t="shared" si="364"/>
        <v>23100</v>
      </c>
      <c r="P1315" s="403"/>
      <c r="Q1315" s="152">
        <f t="shared" si="377"/>
        <v>22</v>
      </c>
      <c r="R1315" s="152">
        <v>1050</v>
      </c>
      <c r="S1315" s="402">
        <f t="shared" si="365"/>
        <v>23877.26</v>
      </c>
      <c r="T1315" s="404">
        <f t="shared" si="362"/>
        <v>23100</v>
      </c>
      <c r="U1315" s="403"/>
      <c r="V1315" s="160" t="s">
        <v>1148</v>
      </c>
      <c r="W1315" s="43" t="str">
        <f t="shared" si="376"/>
        <v>x</v>
      </c>
      <c r="X1315" s="43" t="str">
        <f t="shared" si="359"/>
        <v>x</v>
      </c>
      <c r="Y1315" s="43" t="str">
        <f t="shared" si="369"/>
        <v>x</v>
      </c>
    </row>
    <row r="1316" spans="1:25">
      <c r="A1316" s="155" t="s">
        <v>183</v>
      </c>
      <c r="B1316" s="156"/>
      <c r="C1316" s="411" t="s">
        <v>251</v>
      </c>
      <c r="D1316" s="351"/>
      <c r="E1316" s="473">
        <v>530</v>
      </c>
      <c r="F1316" s="406">
        <f>VLOOKUP(C1315,'ENSAIOS DE ORÇAMENTO'!$C$3:$L$79,4,FALSE)</f>
        <v>9.9194400000000016E-2</v>
      </c>
      <c r="G1316" s="158">
        <f>IF(E1316&lt;=30,(0.42*E1316+3.55)*F1316,((0.42*30+3.55)+0.35*(E1316-30))*F1316)</f>
        <v>18.961009560000004</v>
      </c>
      <c r="H1316" s="465"/>
      <c r="I1316" s="465"/>
      <c r="J1316" s="407">
        <f t="shared" si="367"/>
        <v>0</v>
      </c>
      <c r="K1316" s="408"/>
      <c r="L1316" s="152">
        <v>0</v>
      </c>
      <c r="M1316" s="213"/>
      <c r="N1316" s="402">
        <f t="shared" si="363"/>
        <v>0</v>
      </c>
      <c r="O1316" s="402">
        <f t="shared" si="364"/>
        <v>0</v>
      </c>
      <c r="P1316" s="403"/>
      <c r="Q1316" s="464"/>
      <c r="R1316" s="464"/>
      <c r="S1316" s="402">
        <f t="shared" si="365"/>
        <v>0</v>
      </c>
      <c r="T1316" s="404">
        <f t="shared" si="362"/>
        <v>0</v>
      </c>
      <c r="U1316" s="403"/>
      <c r="V1316" s="160" t="str">
        <f>IF(T1315&gt;0,"xx",IF(O1315&gt;0,"xy",""))</f>
        <v>xx</v>
      </c>
      <c r="W1316" s="43" t="str">
        <f t="shared" si="376"/>
        <v>x</v>
      </c>
      <c r="X1316" s="43" t="str">
        <f t="shared" si="359"/>
        <v>x</v>
      </c>
      <c r="Y1316" s="43" t="str">
        <f t="shared" si="369"/>
        <v/>
      </c>
    </row>
    <row r="1317" spans="1:25">
      <c r="A1317" s="155" t="s">
        <v>183</v>
      </c>
      <c r="B1317" s="156"/>
      <c r="C1317" s="411" t="s">
        <v>314</v>
      </c>
      <c r="D1317" s="351"/>
      <c r="E1317" s="473">
        <v>270</v>
      </c>
      <c r="F1317" s="406">
        <f>VLOOKUP(C1315,'ENSAIOS DE ORÇAMENTO'!$C$3:$L$79,5,FALSE)</f>
        <v>0.64268200000000009</v>
      </c>
      <c r="G1317" s="158">
        <f t="shared" ref="G1317:G1319" si="381">IF(E1317&lt;=30,(0.6*E1317+1.25)*F1317,((0.6*30+1.25)+0.5*(E1317-30))*F1317)</f>
        <v>89.493468500000006</v>
      </c>
      <c r="H1317" s="465"/>
      <c r="I1317" s="465"/>
      <c r="J1317" s="407">
        <f t="shared" si="367"/>
        <v>0</v>
      </c>
      <c r="K1317" s="408"/>
      <c r="L1317" s="152">
        <v>0</v>
      </c>
      <c r="M1317" s="213"/>
      <c r="N1317" s="402">
        <f t="shared" si="363"/>
        <v>0</v>
      </c>
      <c r="O1317" s="402">
        <f t="shared" si="364"/>
        <v>0</v>
      </c>
      <c r="P1317" s="403"/>
      <c r="Q1317" s="464"/>
      <c r="R1317" s="464"/>
      <c r="S1317" s="402">
        <f t="shared" si="365"/>
        <v>0</v>
      </c>
      <c r="T1317" s="404">
        <f t="shared" si="362"/>
        <v>0</v>
      </c>
      <c r="U1317" s="403"/>
      <c r="V1317" s="160" t="str">
        <f>IF(T1315&gt;0,"xx",IF(O1315&gt;0,"xy",""))</f>
        <v>xx</v>
      </c>
      <c r="W1317" s="43" t="str">
        <f t="shared" si="376"/>
        <v>x</v>
      </c>
      <c r="X1317" s="43" t="str">
        <f t="shared" si="359"/>
        <v>x</v>
      </c>
      <c r="Y1317" s="43" t="str">
        <f t="shared" si="369"/>
        <v/>
      </c>
    </row>
    <row r="1318" spans="1:25">
      <c r="A1318" s="155" t="s">
        <v>183</v>
      </c>
      <c r="B1318" s="156"/>
      <c r="C1318" s="411" t="s">
        <v>323</v>
      </c>
      <c r="D1318" s="351"/>
      <c r="E1318" s="473"/>
      <c r="F1318" s="406">
        <f>VLOOKUP(C1315,'ENSAIOS DE ORÇAMENTO'!$C$3:$L$79,6,FALSE)</f>
        <v>0.20424000000000003</v>
      </c>
      <c r="G1318" s="158">
        <f t="shared" si="381"/>
        <v>0.25530000000000003</v>
      </c>
      <c r="H1318" s="465"/>
      <c r="I1318" s="465"/>
      <c r="J1318" s="407">
        <f t="shared" si="367"/>
        <v>0</v>
      </c>
      <c r="K1318" s="408"/>
      <c r="L1318" s="152">
        <v>0</v>
      </c>
      <c r="M1318" s="213"/>
      <c r="N1318" s="402">
        <f t="shared" si="363"/>
        <v>0</v>
      </c>
      <c r="O1318" s="402">
        <f t="shared" si="364"/>
        <v>0</v>
      </c>
      <c r="P1318" s="403"/>
      <c r="Q1318" s="464"/>
      <c r="R1318" s="464"/>
      <c r="S1318" s="402">
        <f t="shared" si="365"/>
        <v>0</v>
      </c>
      <c r="T1318" s="404">
        <f t="shared" si="362"/>
        <v>0</v>
      </c>
      <c r="U1318" s="403"/>
      <c r="V1318" s="160" t="str">
        <f>IF(T1315&gt;0,"xx",IF(O1315&gt;0,"xy",""))</f>
        <v>xx</v>
      </c>
      <c r="W1318" s="43" t="str">
        <f t="shared" si="376"/>
        <v>x</v>
      </c>
      <c r="X1318" s="43" t="str">
        <f t="shared" si="359"/>
        <v>x</v>
      </c>
      <c r="Y1318" s="43" t="str">
        <f t="shared" si="369"/>
        <v/>
      </c>
    </row>
    <row r="1319" spans="1:25">
      <c r="A1319" s="155" t="s">
        <v>183</v>
      </c>
      <c r="B1319" s="156"/>
      <c r="C1319" s="411" t="s">
        <v>511</v>
      </c>
      <c r="D1319" s="351"/>
      <c r="E1319" s="473"/>
      <c r="F1319" s="406">
        <f>VLOOKUP(C1315,'ENSAIOS DE ORÇAMENTO'!$C$3:$L$79,3,FALSE)</f>
        <v>1.1908000000000001</v>
      </c>
      <c r="G1319" s="158">
        <f t="shared" si="381"/>
        <v>1.4885000000000002</v>
      </c>
      <c r="H1319" s="465"/>
      <c r="I1319" s="465"/>
      <c r="J1319" s="407">
        <f t="shared" si="367"/>
        <v>0</v>
      </c>
      <c r="K1319" s="408"/>
      <c r="L1319" s="152">
        <v>0</v>
      </c>
      <c r="M1319" s="213"/>
      <c r="N1319" s="402">
        <f t="shared" si="363"/>
        <v>0</v>
      </c>
      <c r="O1319" s="402">
        <f t="shared" si="364"/>
        <v>0</v>
      </c>
      <c r="P1319" s="403"/>
      <c r="Q1319" s="464"/>
      <c r="R1319" s="464"/>
      <c r="S1319" s="402">
        <f t="shared" si="365"/>
        <v>0</v>
      </c>
      <c r="T1319" s="404">
        <f t="shared" si="362"/>
        <v>0</v>
      </c>
      <c r="U1319" s="403"/>
      <c r="V1319" s="160" t="str">
        <f>IF(T1315&gt;0,"xx",IF(O1315&gt;0,"xy",""))</f>
        <v>xx</v>
      </c>
      <c r="W1319" s="43" t="str">
        <f t="shared" si="376"/>
        <v>x</v>
      </c>
      <c r="X1319" s="43" t="str">
        <f t="shared" si="359"/>
        <v>x</v>
      </c>
      <c r="Y1319" s="43" t="str">
        <f t="shared" si="369"/>
        <v/>
      </c>
    </row>
    <row r="1320" spans="1:25">
      <c r="A1320" s="155" t="s">
        <v>183</v>
      </c>
      <c r="B1320" s="156"/>
      <c r="C1320" s="411" t="s">
        <v>512</v>
      </c>
      <c r="D1320" s="351"/>
      <c r="E1320" s="473">
        <v>530</v>
      </c>
      <c r="F1320" s="406">
        <f>VLOOKUP(C1315,'ENSAIOS DE ORÇAMENTO'!$C$3:$L$79,10,FALSE)</f>
        <v>4.3056000000000004E-2</v>
      </c>
      <c r="G1320" s="158">
        <f t="shared" ref="G1320" si="382">IF(E1320&lt;=30,(0.42*E1320+3.55)*F1320,((0.42*30+3.55)+0.35*(E1320-30))*F1320)</f>
        <v>8.2301544000000018</v>
      </c>
      <c r="H1320" s="465"/>
      <c r="I1320" s="465"/>
      <c r="J1320" s="407">
        <f t="shared" si="367"/>
        <v>0</v>
      </c>
      <c r="K1320" s="408"/>
      <c r="L1320" s="152">
        <v>0</v>
      </c>
      <c r="M1320" s="213"/>
      <c r="N1320" s="402">
        <f t="shared" si="363"/>
        <v>0</v>
      </c>
      <c r="O1320" s="402">
        <f t="shared" si="364"/>
        <v>0</v>
      </c>
      <c r="P1320" s="403"/>
      <c r="Q1320" s="464"/>
      <c r="R1320" s="464"/>
      <c r="S1320" s="402">
        <f t="shared" si="365"/>
        <v>0</v>
      </c>
      <c r="T1320" s="404">
        <f t="shared" si="362"/>
        <v>0</v>
      </c>
      <c r="U1320" s="403"/>
      <c r="V1320" s="160" t="str">
        <f>IF(T1315&gt;0,"xx",IF(O1315&gt;0,"xy",""))</f>
        <v>xx</v>
      </c>
      <c r="W1320" s="43" t="str">
        <f t="shared" si="376"/>
        <v>x</v>
      </c>
      <c r="X1320" s="43" t="str">
        <f t="shared" si="359"/>
        <v>x</v>
      </c>
      <c r="Y1320" s="43" t="str">
        <f t="shared" si="369"/>
        <v/>
      </c>
    </row>
    <row r="1321" spans="1:25" hidden="1">
      <c r="A1321" s="155" t="s">
        <v>28</v>
      </c>
      <c r="B1321" s="156" t="s">
        <v>242</v>
      </c>
      <c r="C1321" s="411" t="s">
        <v>73</v>
      </c>
      <c r="D1321" s="351"/>
      <c r="E1321" s="405"/>
      <c r="F1321" s="406"/>
      <c r="G1321" s="158">
        <f>SUM(G1322:G1326)</f>
        <v>132.7064522</v>
      </c>
      <c r="H1321" s="465">
        <f>VLOOKUP(C1321,'ENSAIOS DE ORÇAMENTO'!$C$3:$L$79,8,FALSE)</f>
        <v>809.95794000000001</v>
      </c>
      <c r="I1321" s="465">
        <f>IF(ISBLANK(H1321),"",SUM(G1321:H1321))</f>
        <v>942.66439220000007</v>
      </c>
      <c r="J1321" s="407">
        <f t="shared" si="367"/>
        <v>1195.3</v>
      </c>
      <c r="K1321" s="408" t="s">
        <v>23</v>
      </c>
      <c r="L1321" s="152">
        <v>0</v>
      </c>
      <c r="M1321" s="152"/>
      <c r="N1321" s="402">
        <f t="shared" si="363"/>
        <v>0</v>
      </c>
      <c r="O1321" s="402">
        <f t="shared" si="364"/>
        <v>0</v>
      </c>
      <c r="P1321" s="403"/>
      <c r="Q1321" s="152">
        <f t="shared" si="377"/>
        <v>0</v>
      </c>
      <c r="R1321" s="152">
        <f t="shared" si="377"/>
        <v>0</v>
      </c>
      <c r="S1321" s="402">
        <f t="shared" si="365"/>
        <v>0</v>
      </c>
      <c r="T1321" s="404">
        <f t="shared" si="362"/>
        <v>0</v>
      </c>
      <c r="U1321" s="403"/>
      <c r="W1321" s="43" t="str">
        <f t="shared" si="376"/>
        <v/>
      </c>
      <c r="X1321" s="43" t="str">
        <f t="shared" si="359"/>
        <v/>
      </c>
      <c r="Y1321" s="43" t="str">
        <f t="shared" si="369"/>
        <v/>
      </c>
    </row>
    <row r="1322" spans="1:25" hidden="1">
      <c r="A1322" s="155" t="s">
        <v>183</v>
      </c>
      <c r="B1322" s="156"/>
      <c r="C1322" s="411" t="s">
        <v>251</v>
      </c>
      <c r="D1322" s="351"/>
      <c r="E1322" s="405">
        <v>500</v>
      </c>
      <c r="F1322" s="406">
        <f>VLOOKUP(C1321,'ENSAIOS DE ORÇAMENTO'!$C$3:$L$79,4,FALSE)</f>
        <v>0.11186800000000001</v>
      </c>
      <c r="G1322" s="158">
        <f>IF(E1322&lt;=30,(0.42*E1322+3.55)*F1322,((0.42*30+3.55)+0.35*(E1322-30))*F1322)</f>
        <v>20.208954200000001</v>
      </c>
      <c r="H1322" s="465"/>
      <c r="I1322" s="465"/>
      <c r="J1322" s="407">
        <f t="shared" si="367"/>
        <v>0</v>
      </c>
      <c r="K1322" s="408"/>
      <c r="L1322" s="152">
        <v>0</v>
      </c>
      <c r="M1322" s="213"/>
      <c r="N1322" s="402">
        <f t="shared" si="363"/>
        <v>0</v>
      </c>
      <c r="O1322" s="402">
        <f t="shared" si="364"/>
        <v>0</v>
      </c>
      <c r="P1322" s="403"/>
      <c r="Q1322" s="464"/>
      <c r="R1322" s="464"/>
      <c r="S1322" s="402">
        <f t="shared" si="365"/>
        <v>0</v>
      </c>
      <c r="T1322" s="404">
        <f t="shared" si="362"/>
        <v>0</v>
      </c>
      <c r="U1322" s="403"/>
      <c r="V1322" s="160" t="str">
        <f>IF(T1321&gt;0,"xx",IF(O1321&gt;0,"xy",""))</f>
        <v/>
      </c>
      <c r="W1322" s="43" t="str">
        <f t="shared" si="376"/>
        <v/>
      </c>
      <c r="X1322" s="43" t="str">
        <f t="shared" si="359"/>
        <v/>
      </c>
      <c r="Y1322" s="43" t="str">
        <f t="shared" si="369"/>
        <v/>
      </c>
    </row>
    <row r="1323" spans="1:25" hidden="1">
      <c r="A1323" s="155" t="s">
        <v>183</v>
      </c>
      <c r="B1323" s="156"/>
      <c r="C1323" s="411" t="s">
        <v>314</v>
      </c>
      <c r="D1323" s="351"/>
      <c r="E1323" s="405">
        <v>180</v>
      </c>
      <c r="F1323" s="406">
        <f>VLOOKUP(C1321,'ENSAIOS DE ORÇAMENTO'!$C$3:$L$79,5,FALSE)</f>
        <v>0.75771999999999995</v>
      </c>
      <c r="G1323" s="158">
        <f t="shared" ref="G1323:G1325" si="383">IF(E1323&lt;=30,(0.6*E1323+1.25)*F1323,((0.6*30+1.25)+0.5*(E1323-30))*F1323)</f>
        <v>71.415109999999999</v>
      </c>
      <c r="H1323" s="465"/>
      <c r="I1323" s="465"/>
      <c r="J1323" s="407">
        <f t="shared" si="367"/>
        <v>0</v>
      </c>
      <c r="K1323" s="408"/>
      <c r="L1323" s="152">
        <v>0</v>
      </c>
      <c r="M1323" s="213"/>
      <c r="N1323" s="402">
        <f t="shared" si="363"/>
        <v>0</v>
      </c>
      <c r="O1323" s="402">
        <f t="shared" si="364"/>
        <v>0</v>
      </c>
      <c r="P1323" s="403"/>
      <c r="Q1323" s="464"/>
      <c r="R1323" s="464"/>
      <c r="S1323" s="402">
        <f t="shared" si="365"/>
        <v>0</v>
      </c>
      <c r="T1323" s="404">
        <f t="shared" si="362"/>
        <v>0</v>
      </c>
      <c r="U1323" s="403"/>
      <c r="V1323" s="160" t="str">
        <f>IF(T1321&gt;0,"xx",IF(O1321&gt;0,"xy",""))</f>
        <v/>
      </c>
      <c r="W1323" s="43" t="str">
        <f t="shared" si="376"/>
        <v/>
      </c>
      <c r="X1323" s="43" t="str">
        <f t="shared" si="359"/>
        <v/>
      </c>
      <c r="Y1323" s="43" t="str">
        <f t="shared" si="369"/>
        <v/>
      </c>
    </row>
    <row r="1324" spans="1:25" hidden="1">
      <c r="A1324" s="155" t="s">
        <v>183</v>
      </c>
      <c r="B1324" s="156"/>
      <c r="C1324" s="411" t="s">
        <v>323</v>
      </c>
      <c r="D1324" s="351"/>
      <c r="E1324" s="405">
        <v>20</v>
      </c>
      <c r="F1324" s="406">
        <f>VLOOKUP(C1321,'ENSAIOS DE ORÇAMENTO'!$C$3:$L$79,6,FALSE)</f>
        <v>0.20424000000000003</v>
      </c>
      <c r="G1324" s="158">
        <f t="shared" si="383"/>
        <v>2.7061800000000003</v>
      </c>
      <c r="H1324" s="465"/>
      <c r="I1324" s="465"/>
      <c r="J1324" s="407">
        <f t="shared" si="367"/>
        <v>0</v>
      </c>
      <c r="K1324" s="408"/>
      <c r="L1324" s="152">
        <v>0</v>
      </c>
      <c r="M1324" s="213"/>
      <c r="N1324" s="402">
        <f t="shared" si="363"/>
        <v>0</v>
      </c>
      <c r="O1324" s="402">
        <f t="shared" si="364"/>
        <v>0</v>
      </c>
      <c r="P1324" s="403"/>
      <c r="Q1324" s="464"/>
      <c r="R1324" s="464"/>
      <c r="S1324" s="402">
        <f t="shared" si="365"/>
        <v>0</v>
      </c>
      <c r="T1324" s="404">
        <f t="shared" si="362"/>
        <v>0</v>
      </c>
      <c r="U1324" s="403"/>
      <c r="V1324" s="160" t="str">
        <f>IF(T1321&gt;0,"xx",IF(O1321&gt;0,"xy",""))</f>
        <v/>
      </c>
      <c r="W1324" s="43" t="str">
        <f t="shared" si="376"/>
        <v/>
      </c>
      <c r="X1324" s="43" t="str">
        <f t="shared" si="359"/>
        <v/>
      </c>
      <c r="Y1324" s="43" t="str">
        <f t="shared" si="369"/>
        <v/>
      </c>
    </row>
    <row r="1325" spans="1:25" hidden="1">
      <c r="A1325" s="155" t="s">
        <v>183</v>
      </c>
      <c r="B1325" s="156"/>
      <c r="C1325" s="411" t="s">
        <v>511</v>
      </c>
      <c r="D1325" s="351"/>
      <c r="E1325" s="405">
        <v>30</v>
      </c>
      <c r="F1325" s="406">
        <f>VLOOKUP(C1321,'ENSAIOS DE ORÇAMENTO'!$C$3:$L$79,3,FALSE)</f>
        <v>1.4885000000000002</v>
      </c>
      <c r="G1325" s="158">
        <f t="shared" si="383"/>
        <v>28.653625000000002</v>
      </c>
      <c r="H1325" s="465"/>
      <c r="I1325" s="465"/>
      <c r="J1325" s="407">
        <f t="shared" si="367"/>
        <v>0</v>
      </c>
      <c r="K1325" s="408"/>
      <c r="L1325" s="152">
        <v>0</v>
      </c>
      <c r="M1325" s="213"/>
      <c r="N1325" s="402">
        <f t="shared" si="363"/>
        <v>0</v>
      </c>
      <c r="O1325" s="402">
        <f t="shared" si="364"/>
        <v>0</v>
      </c>
      <c r="P1325" s="403"/>
      <c r="Q1325" s="464"/>
      <c r="R1325" s="464"/>
      <c r="S1325" s="402">
        <f t="shared" si="365"/>
        <v>0</v>
      </c>
      <c r="T1325" s="404">
        <f t="shared" si="362"/>
        <v>0</v>
      </c>
      <c r="U1325" s="403"/>
      <c r="V1325" s="160" t="str">
        <f>IF(T1321&gt;0,"xx",IF(O1321&gt;0,"xy",""))</f>
        <v/>
      </c>
      <c r="W1325" s="43" t="str">
        <f t="shared" si="376"/>
        <v/>
      </c>
      <c r="X1325" s="43" t="str">
        <f t="shared" si="359"/>
        <v/>
      </c>
      <c r="Y1325" s="43" t="str">
        <f t="shared" si="369"/>
        <v/>
      </c>
    </row>
    <row r="1326" spans="1:25" hidden="1">
      <c r="A1326" s="155" t="s">
        <v>183</v>
      </c>
      <c r="B1326" s="156"/>
      <c r="C1326" s="411" t="s">
        <v>512</v>
      </c>
      <c r="D1326" s="351"/>
      <c r="E1326" s="405">
        <v>500</v>
      </c>
      <c r="F1326" s="406">
        <f>VLOOKUP(C1321,'ENSAIOS DE ORÇAMENTO'!$C$3:$L$79,10,FALSE)</f>
        <v>5.382E-2</v>
      </c>
      <c r="G1326" s="158">
        <f t="shared" ref="G1326" si="384">IF(E1326&lt;=30,(0.42*E1326+3.55)*F1326,((0.42*30+3.55)+0.35*(E1326-30))*F1326)</f>
        <v>9.7225830000000002</v>
      </c>
      <c r="H1326" s="465"/>
      <c r="I1326" s="465"/>
      <c r="J1326" s="407">
        <f t="shared" si="367"/>
        <v>0</v>
      </c>
      <c r="K1326" s="408"/>
      <c r="L1326" s="152">
        <v>0</v>
      </c>
      <c r="M1326" s="213"/>
      <c r="N1326" s="402">
        <f t="shared" si="363"/>
        <v>0</v>
      </c>
      <c r="O1326" s="402">
        <f t="shared" si="364"/>
        <v>0</v>
      </c>
      <c r="P1326" s="403"/>
      <c r="Q1326" s="464"/>
      <c r="R1326" s="464"/>
      <c r="S1326" s="402">
        <f t="shared" si="365"/>
        <v>0</v>
      </c>
      <c r="T1326" s="404">
        <f t="shared" si="362"/>
        <v>0</v>
      </c>
      <c r="U1326" s="403"/>
      <c r="V1326" s="160" t="str">
        <f>IF(T1321&gt;0,"xx",IF(O1321&gt;0,"xy",""))</f>
        <v/>
      </c>
      <c r="W1326" s="43" t="str">
        <f t="shared" si="376"/>
        <v/>
      </c>
      <c r="X1326" s="43" t="str">
        <f t="shared" si="359"/>
        <v/>
      </c>
      <c r="Y1326" s="43" t="str">
        <f t="shared" si="369"/>
        <v/>
      </c>
    </row>
    <row r="1327" spans="1:25" hidden="1">
      <c r="A1327" s="155" t="s">
        <v>29</v>
      </c>
      <c r="B1327" s="156" t="s">
        <v>242</v>
      </c>
      <c r="C1327" s="411" t="s">
        <v>74</v>
      </c>
      <c r="D1327" s="351"/>
      <c r="E1327" s="405"/>
      <c r="F1327" s="406"/>
      <c r="G1327" s="158">
        <f>SUM(G1328:G1332)</f>
        <v>167.13470379750004</v>
      </c>
      <c r="H1327" s="465">
        <f>VLOOKUP(C1327,'ENSAIOS DE ORÇAMENTO'!$C$3:$L$79,8,FALSE)</f>
        <v>929.80494299999987</v>
      </c>
      <c r="I1327" s="465">
        <f>IF(ISBLANK(H1327),"",SUM(G1327:H1327))</f>
        <v>1096.9396467974998</v>
      </c>
      <c r="J1327" s="407">
        <f t="shared" si="367"/>
        <v>1390.92</v>
      </c>
      <c r="K1327" s="408" t="s">
        <v>23</v>
      </c>
      <c r="L1327" s="152">
        <v>0</v>
      </c>
      <c r="M1327" s="152"/>
      <c r="N1327" s="402">
        <f t="shared" si="363"/>
        <v>0</v>
      </c>
      <c r="O1327" s="402">
        <f t="shared" si="364"/>
        <v>0</v>
      </c>
      <c r="P1327" s="403"/>
      <c r="Q1327" s="152">
        <f t="shared" si="377"/>
        <v>0</v>
      </c>
      <c r="R1327" s="152">
        <f t="shared" si="377"/>
        <v>0</v>
      </c>
      <c r="S1327" s="402">
        <f t="shared" si="365"/>
        <v>0</v>
      </c>
      <c r="T1327" s="404">
        <f t="shared" si="362"/>
        <v>0</v>
      </c>
      <c r="U1327" s="403"/>
      <c r="W1327" s="43" t="str">
        <f t="shared" si="376"/>
        <v/>
      </c>
      <c r="X1327" s="43" t="str">
        <f t="shared" si="359"/>
        <v/>
      </c>
      <c r="Y1327" s="43" t="str">
        <f t="shared" si="369"/>
        <v/>
      </c>
    </row>
    <row r="1328" spans="1:25" hidden="1">
      <c r="A1328" s="155" t="s">
        <v>183</v>
      </c>
      <c r="B1328" s="156"/>
      <c r="C1328" s="411" t="s">
        <v>251</v>
      </c>
      <c r="D1328" s="351"/>
      <c r="E1328" s="405">
        <v>500</v>
      </c>
      <c r="F1328" s="406">
        <f>VLOOKUP(C1327,'ENSAIOS DE ORÇAMENTO'!$C$3:$L$79,4,FALSE)</f>
        <v>0.1328599</v>
      </c>
      <c r="G1328" s="158">
        <f>IF(E1328&lt;=30,(0.42*E1328+3.55)*F1328,((0.42*30+3.55)+0.35*(E1328-30))*F1328)</f>
        <v>24.001140935000002</v>
      </c>
      <c r="H1328" s="465"/>
      <c r="I1328" s="465"/>
      <c r="J1328" s="407">
        <f t="shared" si="367"/>
        <v>0</v>
      </c>
      <c r="K1328" s="408"/>
      <c r="L1328" s="152">
        <v>0</v>
      </c>
      <c r="M1328" s="213"/>
      <c r="N1328" s="402">
        <f t="shared" si="363"/>
        <v>0</v>
      </c>
      <c r="O1328" s="402">
        <f t="shared" si="364"/>
        <v>0</v>
      </c>
      <c r="P1328" s="403"/>
      <c r="Q1328" s="464"/>
      <c r="R1328" s="464"/>
      <c r="S1328" s="402">
        <f t="shared" si="365"/>
        <v>0</v>
      </c>
      <c r="T1328" s="404">
        <f t="shared" si="362"/>
        <v>0</v>
      </c>
      <c r="U1328" s="403"/>
      <c r="V1328" s="160" t="str">
        <f>IF(T1327&gt;0,"xx",IF(O1327&gt;0,"xy",""))</f>
        <v/>
      </c>
      <c r="W1328" s="43" t="str">
        <f t="shared" si="376"/>
        <v/>
      </c>
      <c r="X1328" s="43" t="str">
        <f t="shared" si="359"/>
        <v/>
      </c>
      <c r="Y1328" s="43" t="str">
        <f t="shared" si="369"/>
        <v/>
      </c>
    </row>
    <row r="1329" spans="1:25" hidden="1">
      <c r="A1329" s="155" t="s">
        <v>183</v>
      </c>
      <c r="B1329" s="156"/>
      <c r="C1329" s="411" t="s">
        <v>314</v>
      </c>
      <c r="D1329" s="351"/>
      <c r="E1329" s="405">
        <v>180</v>
      </c>
      <c r="F1329" s="406">
        <f>VLOOKUP(C1327,'ENSAIOS DE ORÇAMENTO'!$C$3:$L$79,5,FALSE)</f>
        <v>0.94809025000000013</v>
      </c>
      <c r="G1329" s="158">
        <f t="shared" ref="G1329:G1331" si="385">IF(E1329&lt;=30,(0.6*E1329+1.25)*F1329,((0.6*30+1.25)+0.5*(E1329-30))*F1329)</f>
        <v>89.357506062500008</v>
      </c>
      <c r="H1329" s="465"/>
      <c r="I1329" s="465"/>
      <c r="J1329" s="407">
        <f t="shared" si="367"/>
        <v>0</v>
      </c>
      <c r="K1329" s="408"/>
      <c r="L1329" s="152">
        <v>0</v>
      </c>
      <c r="M1329" s="213"/>
      <c r="N1329" s="402">
        <f t="shared" si="363"/>
        <v>0</v>
      </c>
      <c r="O1329" s="402">
        <f t="shared" si="364"/>
        <v>0</v>
      </c>
      <c r="P1329" s="403"/>
      <c r="Q1329" s="464"/>
      <c r="R1329" s="464"/>
      <c r="S1329" s="402">
        <f t="shared" si="365"/>
        <v>0</v>
      </c>
      <c r="T1329" s="404">
        <f t="shared" si="362"/>
        <v>0</v>
      </c>
      <c r="U1329" s="403"/>
      <c r="V1329" s="160" t="str">
        <f>IF(T1327&gt;0,"xx",IF(O1327&gt;0,"xy",""))</f>
        <v/>
      </c>
      <c r="W1329" s="43" t="str">
        <f t="shared" si="376"/>
        <v/>
      </c>
      <c r="X1329" s="43" t="str">
        <f t="shared" si="359"/>
        <v/>
      </c>
      <c r="Y1329" s="43" t="str">
        <f t="shared" si="369"/>
        <v/>
      </c>
    </row>
    <row r="1330" spans="1:25" hidden="1">
      <c r="A1330" s="155" t="s">
        <v>183</v>
      </c>
      <c r="B1330" s="156"/>
      <c r="C1330" s="411" t="s">
        <v>323</v>
      </c>
      <c r="D1330" s="351"/>
      <c r="E1330" s="405">
        <v>20</v>
      </c>
      <c r="F1330" s="406">
        <f>VLOOKUP(C1327,'ENSAIOS DE ORÇAMENTO'!$C$3:$L$79,6,FALSE)</f>
        <v>0.20424000000000003</v>
      </c>
      <c r="G1330" s="158">
        <f t="shared" si="385"/>
        <v>2.7061800000000003</v>
      </c>
      <c r="H1330" s="465"/>
      <c r="I1330" s="465"/>
      <c r="J1330" s="407">
        <f t="shared" ref="J1330:J1393" si="386">IF(ISBLANK(H1330),0,ROUND(I1330*(1+$E$10)*(1+$E$11*D1330),2))</f>
        <v>0</v>
      </c>
      <c r="K1330" s="408"/>
      <c r="L1330" s="152">
        <v>0</v>
      </c>
      <c r="M1330" s="213"/>
      <c r="N1330" s="402">
        <f t="shared" si="363"/>
        <v>0</v>
      </c>
      <c r="O1330" s="402">
        <f t="shared" si="364"/>
        <v>0</v>
      </c>
      <c r="P1330" s="403"/>
      <c r="Q1330" s="464"/>
      <c r="R1330" s="464"/>
      <c r="S1330" s="402">
        <f t="shared" si="365"/>
        <v>0</v>
      </c>
      <c r="T1330" s="404">
        <f t="shared" si="362"/>
        <v>0</v>
      </c>
      <c r="U1330" s="403"/>
      <c r="V1330" s="160" t="str">
        <f>IF(T1327&gt;0,"xx",IF(O1327&gt;0,"xy",""))</f>
        <v/>
      </c>
      <c r="W1330" s="43" t="str">
        <f t="shared" si="376"/>
        <v/>
      </c>
      <c r="X1330" s="43" t="str">
        <f t="shared" si="359"/>
        <v/>
      </c>
      <c r="Y1330" s="43" t="str">
        <f t="shared" si="369"/>
        <v/>
      </c>
    </row>
    <row r="1331" spans="1:25" hidden="1">
      <c r="A1331" s="155" t="s">
        <v>183</v>
      </c>
      <c r="B1331" s="156"/>
      <c r="C1331" s="411" t="s">
        <v>511</v>
      </c>
      <c r="D1331" s="351"/>
      <c r="E1331" s="405">
        <v>30</v>
      </c>
      <c r="F1331" s="406">
        <f>VLOOKUP(C1327,'ENSAIOS DE ORÇAMENTO'!$C$3:$L$79,3,FALSE)</f>
        <v>1.98085</v>
      </c>
      <c r="G1331" s="158">
        <f t="shared" si="385"/>
        <v>38.131362500000002</v>
      </c>
      <c r="H1331" s="465"/>
      <c r="I1331" s="465"/>
      <c r="J1331" s="407">
        <f t="shared" si="386"/>
        <v>0</v>
      </c>
      <c r="K1331" s="408"/>
      <c r="L1331" s="152">
        <v>0</v>
      </c>
      <c r="M1331" s="213"/>
      <c r="N1331" s="402">
        <f t="shared" si="363"/>
        <v>0</v>
      </c>
      <c r="O1331" s="402">
        <f t="shared" si="364"/>
        <v>0</v>
      </c>
      <c r="P1331" s="403"/>
      <c r="Q1331" s="464"/>
      <c r="R1331" s="464"/>
      <c r="S1331" s="402">
        <f t="shared" si="365"/>
        <v>0</v>
      </c>
      <c r="T1331" s="404">
        <f t="shared" si="362"/>
        <v>0</v>
      </c>
      <c r="U1331" s="403"/>
      <c r="V1331" s="160" t="str">
        <f>IF(T1327&gt;0,"xx",IF(O1327&gt;0,"xy",""))</f>
        <v/>
      </c>
      <c r="W1331" s="43" t="str">
        <f t="shared" si="376"/>
        <v/>
      </c>
      <c r="X1331" s="43" t="str">
        <f t="shared" si="359"/>
        <v/>
      </c>
      <c r="Y1331" s="43" t="str">
        <f t="shared" si="369"/>
        <v/>
      </c>
    </row>
    <row r="1332" spans="1:25" hidden="1">
      <c r="A1332" s="155" t="s">
        <v>183</v>
      </c>
      <c r="B1332" s="156"/>
      <c r="C1332" s="411" t="s">
        <v>512</v>
      </c>
      <c r="D1332" s="351"/>
      <c r="E1332" s="405">
        <v>500</v>
      </c>
      <c r="F1332" s="406">
        <f>VLOOKUP(C1327,'ENSAIOS DE ORÇAMENTO'!$C$3:$L$79,10,FALSE)</f>
        <v>7.1621999999999991E-2</v>
      </c>
      <c r="G1332" s="158">
        <f t="shared" ref="G1332" si="387">IF(E1332&lt;=30,(0.42*E1332+3.55)*F1332,((0.42*30+3.55)+0.35*(E1332-30))*F1332)</f>
        <v>12.9385143</v>
      </c>
      <c r="H1332" s="465"/>
      <c r="I1332" s="465"/>
      <c r="J1332" s="407">
        <f t="shared" si="386"/>
        <v>0</v>
      </c>
      <c r="K1332" s="408"/>
      <c r="L1332" s="152">
        <v>0</v>
      </c>
      <c r="M1332" s="213"/>
      <c r="N1332" s="402">
        <f t="shared" si="363"/>
        <v>0</v>
      </c>
      <c r="O1332" s="402">
        <f t="shared" si="364"/>
        <v>0</v>
      </c>
      <c r="P1332" s="403"/>
      <c r="Q1332" s="464"/>
      <c r="R1332" s="464"/>
      <c r="S1332" s="402">
        <f t="shared" si="365"/>
        <v>0</v>
      </c>
      <c r="T1332" s="404">
        <f t="shared" si="362"/>
        <v>0</v>
      </c>
      <c r="U1332" s="403"/>
      <c r="V1332" s="160" t="str">
        <f>IF(T1327&gt;0,"xx",IF(O1327&gt;0,"xy",""))</f>
        <v/>
      </c>
      <c r="W1332" s="43" t="str">
        <f t="shared" si="376"/>
        <v/>
      </c>
      <c r="X1332" s="43" t="str">
        <f t="shared" si="359"/>
        <v/>
      </c>
      <c r="Y1332" s="43" t="str">
        <f t="shared" ref="Y1332:Y1395" si="388">IF(V1332="X","x",IF(T1332&gt;0,"x",""))</f>
        <v/>
      </c>
    </row>
    <row r="1333" spans="1:25" hidden="1">
      <c r="A1333" s="155" t="s">
        <v>30</v>
      </c>
      <c r="B1333" s="156" t="s">
        <v>242</v>
      </c>
      <c r="C1333" s="411" t="s">
        <v>75</v>
      </c>
      <c r="D1333" s="351"/>
      <c r="E1333" s="405"/>
      <c r="F1333" s="406"/>
      <c r="G1333" s="158">
        <f>SUM(G1334:G1338)</f>
        <v>202.31349530249997</v>
      </c>
      <c r="H1333" s="465">
        <f>VLOOKUP(C1333,'ENSAIOS DE ORÇAMENTO'!$C$3:$L$79,8,FALSE)</f>
        <v>1052.3694969999999</v>
      </c>
      <c r="I1333" s="465">
        <f>IF(ISBLANK(H1333),"",SUM(G1333:H1333))</f>
        <v>1254.6829923024998</v>
      </c>
      <c r="J1333" s="407">
        <f t="shared" si="386"/>
        <v>1590.94</v>
      </c>
      <c r="K1333" s="408" t="s">
        <v>23</v>
      </c>
      <c r="L1333" s="152">
        <v>0</v>
      </c>
      <c r="M1333" s="152"/>
      <c r="N1333" s="402">
        <f t="shared" si="363"/>
        <v>0</v>
      </c>
      <c r="O1333" s="402">
        <f t="shared" si="364"/>
        <v>0</v>
      </c>
      <c r="P1333" s="403"/>
      <c r="Q1333" s="152">
        <f t="shared" si="377"/>
        <v>0</v>
      </c>
      <c r="R1333" s="152">
        <f t="shared" si="377"/>
        <v>0</v>
      </c>
      <c r="S1333" s="402">
        <f t="shared" si="365"/>
        <v>0</v>
      </c>
      <c r="T1333" s="404">
        <f t="shared" si="362"/>
        <v>0</v>
      </c>
      <c r="U1333" s="403"/>
      <c r="W1333" s="43" t="str">
        <f t="shared" si="376"/>
        <v/>
      </c>
      <c r="X1333" s="43" t="str">
        <f t="shared" si="359"/>
        <v/>
      </c>
      <c r="Y1333" s="43" t="str">
        <f t="shared" si="388"/>
        <v/>
      </c>
    </row>
    <row r="1334" spans="1:25" hidden="1">
      <c r="A1334" s="155" t="s">
        <v>183</v>
      </c>
      <c r="B1334" s="156"/>
      <c r="C1334" s="411" t="s">
        <v>251</v>
      </c>
      <c r="D1334" s="351"/>
      <c r="E1334" s="405">
        <v>500</v>
      </c>
      <c r="F1334" s="406">
        <f>VLOOKUP(C1333,'ENSAIOS DE ORÇAMENTO'!$C$3:$L$79,4,FALSE)</f>
        <v>0.1542441</v>
      </c>
      <c r="G1334" s="158">
        <f>IF(E1334&lt;=30,(0.42*E1334+3.55)*F1334,((0.42*30+3.55)+0.35*(E1334-30))*F1334)</f>
        <v>27.864196665000001</v>
      </c>
      <c r="H1334" s="465"/>
      <c r="I1334" s="465"/>
      <c r="J1334" s="407">
        <f t="shared" si="386"/>
        <v>0</v>
      </c>
      <c r="K1334" s="408"/>
      <c r="L1334" s="152">
        <v>0</v>
      </c>
      <c r="M1334" s="213"/>
      <c r="N1334" s="402">
        <f t="shared" si="363"/>
        <v>0</v>
      </c>
      <c r="O1334" s="402">
        <f t="shared" si="364"/>
        <v>0</v>
      </c>
      <c r="P1334" s="403"/>
      <c r="Q1334" s="464"/>
      <c r="R1334" s="464"/>
      <c r="S1334" s="402">
        <f t="shared" si="365"/>
        <v>0</v>
      </c>
      <c r="T1334" s="404">
        <f t="shared" si="362"/>
        <v>0</v>
      </c>
      <c r="U1334" s="403"/>
      <c r="V1334" s="160" t="str">
        <f>IF(T1333&gt;0,"xx",IF(O1333&gt;0,"xy",""))</f>
        <v/>
      </c>
      <c r="W1334" s="43" t="str">
        <f t="shared" si="376"/>
        <v/>
      </c>
      <c r="X1334" s="43" t="str">
        <f t="shared" si="359"/>
        <v/>
      </c>
      <c r="Y1334" s="43" t="str">
        <f t="shared" si="388"/>
        <v/>
      </c>
    </row>
    <row r="1335" spans="1:25" hidden="1">
      <c r="A1335" s="155" t="s">
        <v>183</v>
      </c>
      <c r="B1335" s="156"/>
      <c r="C1335" s="411" t="s">
        <v>314</v>
      </c>
      <c r="D1335" s="351"/>
      <c r="E1335" s="405">
        <v>180</v>
      </c>
      <c r="F1335" s="406">
        <f>VLOOKUP(C1333,'ENSAIOS DE ORÇAMENTO'!$C$3:$L$79,5,FALSE)</f>
        <v>1.1425397499999999</v>
      </c>
      <c r="G1335" s="158">
        <f t="shared" ref="G1335:G1337" si="389">IF(E1335&lt;=30,(0.6*E1335+1.25)*F1335,((0.6*30+1.25)+0.5*(E1335-30))*F1335)</f>
        <v>107.68437143749999</v>
      </c>
      <c r="H1335" s="465"/>
      <c r="I1335" s="465"/>
      <c r="J1335" s="407">
        <f t="shared" si="386"/>
        <v>0</v>
      </c>
      <c r="K1335" s="408"/>
      <c r="L1335" s="152">
        <v>0</v>
      </c>
      <c r="M1335" s="213"/>
      <c r="N1335" s="402">
        <f t="shared" si="363"/>
        <v>0</v>
      </c>
      <c r="O1335" s="402">
        <f t="shared" si="364"/>
        <v>0</v>
      </c>
      <c r="P1335" s="403"/>
      <c r="Q1335" s="464"/>
      <c r="R1335" s="464"/>
      <c r="S1335" s="402">
        <f t="shared" si="365"/>
        <v>0</v>
      </c>
      <c r="T1335" s="404">
        <f t="shared" si="362"/>
        <v>0</v>
      </c>
      <c r="U1335" s="403"/>
      <c r="V1335" s="160" t="str">
        <f>IF(T1333&gt;0,"xx",IF(O1333&gt;0,"xy",""))</f>
        <v/>
      </c>
      <c r="W1335" s="43" t="str">
        <f t="shared" si="376"/>
        <v/>
      </c>
      <c r="X1335" s="43" t="str">
        <f t="shared" si="359"/>
        <v/>
      </c>
      <c r="Y1335" s="43" t="str">
        <f t="shared" si="388"/>
        <v/>
      </c>
    </row>
    <row r="1336" spans="1:25" hidden="1">
      <c r="A1336" s="155" t="s">
        <v>183</v>
      </c>
      <c r="B1336" s="156"/>
      <c r="C1336" s="411" t="s">
        <v>323</v>
      </c>
      <c r="D1336" s="351"/>
      <c r="E1336" s="405">
        <v>20</v>
      </c>
      <c r="F1336" s="406">
        <f>VLOOKUP(C1333,'ENSAIOS DE ORÇAMENTO'!$C$3:$L$79,6,FALSE)</f>
        <v>0.20424000000000003</v>
      </c>
      <c r="G1336" s="158">
        <f t="shared" si="389"/>
        <v>2.7061800000000003</v>
      </c>
      <c r="H1336" s="465"/>
      <c r="I1336" s="465"/>
      <c r="J1336" s="407">
        <f t="shared" si="386"/>
        <v>0</v>
      </c>
      <c r="K1336" s="408"/>
      <c r="L1336" s="152">
        <v>0</v>
      </c>
      <c r="M1336" s="213"/>
      <c r="N1336" s="402">
        <f t="shared" si="363"/>
        <v>0</v>
      </c>
      <c r="O1336" s="402">
        <f t="shared" si="364"/>
        <v>0</v>
      </c>
      <c r="P1336" s="403"/>
      <c r="Q1336" s="464"/>
      <c r="R1336" s="464"/>
      <c r="S1336" s="402">
        <f t="shared" si="365"/>
        <v>0</v>
      </c>
      <c r="T1336" s="404">
        <f t="shared" si="362"/>
        <v>0</v>
      </c>
      <c r="U1336" s="403"/>
      <c r="V1336" s="160" t="str">
        <f>IF(T1333&gt;0,"xx",IF(O1333&gt;0,"xy",""))</f>
        <v/>
      </c>
      <c r="W1336" s="43" t="str">
        <f t="shared" si="376"/>
        <v/>
      </c>
      <c r="X1336" s="43" t="str">
        <f t="shared" si="359"/>
        <v/>
      </c>
      <c r="Y1336" s="43" t="str">
        <f t="shared" si="388"/>
        <v/>
      </c>
    </row>
    <row r="1337" spans="1:25" hidden="1">
      <c r="A1337" s="155" t="s">
        <v>183</v>
      </c>
      <c r="B1337" s="156"/>
      <c r="C1337" s="411" t="s">
        <v>511</v>
      </c>
      <c r="D1337" s="351"/>
      <c r="E1337" s="405">
        <v>30</v>
      </c>
      <c r="F1337" s="406">
        <f>VLOOKUP(C1333,'ENSAIOS DE ORÇAMENTO'!$C$3:$L$79,3,FALSE)</f>
        <v>2.4846499999999998</v>
      </c>
      <c r="G1337" s="158">
        <f t="shared" si="389"/>
        <v>47.829512499999993</v>
      </c>
      <c r="H1337" s="465"/>
      <c r="I1337" s="465"/>
      <c r="J1337" s="407">
        <f t="shared" si="386"/>
        <v>0</v>
      </c>
      <c r="K1337" s="408"/>
      <c r="L1337" s="152">
        <v>0</v>
      </c>
      <c r="M1337" s="213"/>
      <c r="N1337" s="402">
        <f t="shared" si="363"/>
        <v>0</v>
      </c>
      <c r="O1337" s="402">
        <f t="shared" si="364"/>
        <v>0</v>
      </c>
      <c r="P1337" s="403"/>
      <c r="Q1337" s="464"/>
      <c r="R1337" s="464"/>
      <c r="S1337" s="402">
        <f t="shared" si="365"/>
        <v>0</v>
      </c>
      <c r="T1337" s="404">
        <f t="shared" si="362"/>
        <v>0</v>
      </c>
      <c r="U1337" s="403"/>
      <c r="V1337" s="160" t="str">
        <f>IF(T1333&gt;0,"xx",IF(O1333&gt;0,"xy",""))</f>
        <v/>
      </c>
      <c r="W1337" s="43" t="str">
        <f t="shared" si="376"/>
        <v/>
      </c>
      <c r="X1337" s="43" t="str">
        <f t="shared" si="359"/>
        <v/>
      </c>
      <c r="Y1337" s="43" t="str">
        <f t="shared" si="388"/>
        <v/>
      </c>
    </row>
    <row r="1338" spans="1:25" hidden="1">
      <c r="A1338" s="155" t="s">
        <v>183</v>
      </c>
      <c r="B1338" s="156"/>
      <c r="C1338" s="411" t="s">
        <v>512</v>
      </c>
      <c r="D1338" s="351"/>
      <c r="E1338" s="405">
        <v>500</v>
      </c>
      <c r="F1338" s="406">
        <f>VLOOKUP(C1333,'ENSAIOS DE ORÇAMENTO'!$C$3:$L$79,10,FALSE)</f>
        <v>8.9838000000000001E-2</v>
      </c>
      <c r="G1338" s="158">
        <f t="shared" ref="G1338" si="390">IF(E1338&lt;=30,(0.42*E1338+3.55)*F1338,((0.42*30+3.55)+0.35*(E1338-30))*F1338)</f>
        <v>16.229234699999999</v>
      </c>
      <c r="H1338" s="465"/>
      <c r="I1338" s="465"/>
      <c r="J1338" s="407">
        <f t="shared" si="386"/>
        <v>0</v>
      </c>
      <c r="K1338" s="408"/>
      <c r="L1338" s="152">
        <v>0</v>
      </c>
      <c r="M1338" s="213"/>
      <c r="N1338" s="402">
        <f t="shared" si="363"/>
        <v>0</v>
      </c>
      <c r="O1338" s="402">
        <f t="shared" si="364"/>
        <v>0</v>
      </c>
      <c r="P1338" s="403"/>
      <c r="Q1338" s="464"/>
      <c r="R1338" s="464"/>
      <c r="S1338" s="402">
        <f t="shared" si="365"/>
        <v>0</v>
      </c>
      <c r="T1338" s="404">
        <f t="shared" si="362"/>
        <v>0</v>
      </c>
      <c r="U1338" s="403"/>
      <c r="V1338" s="160" t="str">
        <f>IF(T1333&gt;0,"xx",IF(O1333&gt;0,"xy",""))</f>
        <v/>
      </c>
      <c r="W1338" s="43" t="str">
        <f t="shared" si="376"/>
        <v/>
      </c>
      <c r="X1338" s="43" t="str">
        <f t="shared" ref="X1338:X1406" si="391">IF(V1338="X","x",IF(V1338="y","x",IF(V1338="xx","x",IF(T1338&gt;0,"x",""))))</f>
        <v/>
      </c>
      <c r="Y1338" s="43" t="str">
        <f t="shared" si="388"/>
        <v/>
      </c>
    </row>
    <row r="1339" spans="1:25" hidden="1">
      <c r="A1339" s="155" t="s">
        <v>122</v>
      </c>
      <c r="B1339" s="156" t="s">
        <v>242</v>
      </c>
      <c r="C1339" s="411" t="s">
        <v>513</v>
      </c>
      <c r="D1339" s="351"/>
      <c r="E1339" s="405"/>
      <c r="F1339" s="406"/>
      <c r="G1339" s="158">
        <f>SUM(G1340:G1344)</f>
        <v>218.29097250000001</v>
      </c>
      <c r="H1339" s="465">
        <f>VLOOKUP(C1339,'ENSAIOS DE ORÇAMENTO'!$C$3:$L$79,8,FALSE)</f>
        <v>750.63164000000006</v>
      </c>
      <c r="I1339" s="465">
        <f>IF(ISBLANK(H1339),"",SUM(G1339:H1339))*0.95</f>
        <v>920.47648187499999</v>
      </c>
      <c r="J1339" s="407">
        <f t="shared" si="386"/>
        <v>1167.1600000000001</v>
      </c>
      <c r="K1339" s="408" t="s">
        <v>23</v>
      </c>
      <c r="L1339" s="152">
        <v>0</v>
      </c>
      <c r="M1339" s="152"/>
      <c r="N1339" s="402">
        <f t="shared" si="363"/>
        <v>0</v>
      </c>
      <c r="O1339" s="402">
        <f t="shared" si="364"/>
        <v>0</v>
      </c>
      <c r="P1339" s="403"/>
      <c r="Q1339" s="152">
        <f t="shared" si="377"/>
        <v>0</v>
      </c>
      <c r="R1339" s="152">
        <f t="shared" si="377"/>
        <v>0</v>
      </c>
      <c r="S1339" s="402">
        <f t="shared" si="365"/>
        <v>0</v>
      </c>
      <c r="T1339" s="404">
        <f t="shared" si="362"/>
        <v>0</v>
      </c>
      <c r="U1339" s="403"/>
      <c r="W1339" s="43" t="str">
        <f t="shared" si="376"/>
        <v/>
      </c>
      <c r="X1339" s="43" t="str">
        <f t="shared" si="391"/>
        <v/>
      </c>
      <c r="Y1339" s="43" t="str">
        <f t="shared" si="388"/>
        <v/>
      </c>
    </row>
    <row r="1340" spans="1:25" hidden="1">
      <c r="A1340" s="155" t="s">
        <v>183</v>
      </c>
      <c r="B1340" s="156"/>
      <c r="C1340" s="411" t="s">
        <v>251</v>
      </c>
      <c r="D1340" s="351"/>
      <c r="E1340" s="405">
        <v>500</v>
      </c>
      <c r="F1340" s="406">
        <f>VLOOKUP(C1339,'ENSAIOS DE ORÇAMENTO'!$C$3:$L$79,4,FALSE)</f>
        <v>0.43490000000000006</v>
      </c>
      <c r="G1340" s="158">
        <f>IF(E1340&lt;=30,(0.42*E1340+3.55)*F1340,((0.42*30+3.55)+0.35*(E1340-30))*F1340)</f>
        <v>78.564685000000011</v>
      </c>
      <c r="H1340" s="465"/>
      <c r="I1340" s="465"/>
      <c r="J1340" s="407">
        <f t="shared" si="386"/>
        <v>0</v>
      </c>
      <c r="K1340" s="408"/>
      <c r="L1340" s="152">
        <v>0</v>
      </c>
      <c r="M1340" s="213"/>
      <c r="N1340" s="402">
        <f t="shared" si="363"/>
        <v>0</v>
      </c>
      <c r="O1340" s="402">
        <f t="shared" si="364"/>
        <v>0</v>
      </c>
      <c r="P1340" s="403"/>
      <c r="Q1340" s="464"/>
      <c r="R1340" s="464"/>
      <c r="S1340" s="402">
        <f t="shared" si="365"/>
        <v>0</v>
      </c>
      <c r="T1340" s="404">
        <f t="shared" si="362"/>
        <v>0</v>
      </c>
      <c r="U1340" s="403"/>
      <c r="V1340" s="160" t="str">
        <f>IF(T1339&gt;0,"xx",IF(O1339&gt;0,"xy",""))</f>
        <v/>
      </c>
      <c r="W1340" s="43" t="str">
        <f t="shared" si="376"/>
        <v/>
      </c>
      <c r="X1340" s="43" t="str">
        <f t="shared" si="391"/>
        <v/>
      </c>
      <c r="Y1340" s="43" t="str">
        <f t="shared" si="388"/>
        <v/>
      </c>
    </row>
    <row r="1341" spans="1:25" hidden="1">
      <c r="A1341" s="155" t="s">
        <v>183</v>
      </c>
      <c r="B1341" s="156"/>
      <c r="C1341" s="411" t="s">
        <v>314</v>
      </c>
      <c r="D1341" s="351"/>
      <c r="E1341" s="405">
        <v>180</v>
      </c>
      <c r="F1341" s="406">
        <f>VLOOKUP(C1339,'ENSAIOS DE ORÇAMENTO'!$C$3:$L$79,5,FALSE)</f>
        <v>1.26997</v>
      </c>
      <c r="G1341" s="158">
        <f t="shared" ref="G1341:G1343" si="392">IF(E1341&lt;=30,(0.6*E1341+1.25)*F1341,((0.6*30+1.25)+0.5*(E1341-30))*F1341)</f>
        <v>119.69467250000001</v>
      </c>
      <c r="H1341" s="465"/>
      <c r="I1341" s="465"/>
      <c r="J1341" s="407">
        <f t="shared" si="386"/>
        <v>0</v>
      </c>
      <c r="K1341" s="408"/>
      <c r="L1341" s="152">
        <v>0</v>
      </c>
      <c r="M1341" s="213"/>
      <c r="N1341" s="402">
        <f t="shared" si="363"/>
        <v>0</v>
      </c>
      <c r="O1341" s="402">
        <f t="shared" si="364"/>
        <v>0</v>
      </c>
      <c r="P1341" s="403"/>
      <c r="Q1341" s="464"/>
      <c r="R1341" s="464"/>
      <c r="S1341" s="402">
        <f t="shared" si="365"/>
        <v>0</v>
      </c>
      <c r="T1341" s="404">
        <f t="shared" ref="T1341:T1404" si="393">IF(ISBLANK(Q1341),0,ROUND(Q1341*R1341,2))</f>
        <v>0</v>
      </c>
      <c r="U1341" s="403"/>
      <c r="V1341" s="160" t="str">
        <f>IF(T1339&gt;0,"xx",IF(O1339&gt;0,"xy",""))</f>
        <v/>
      </c>
      <c r="W1341" s="43" t="str">
        <f t="shared" si="376"/>
        <v/>
      </c>
      <c r="X1341" s="43" t="str">
        <f t="shared" si="391"/>
        <v/>
      </c>
      <c r="Y1341" s="43" t="str">
        <f t="shared" si="388"/>
        <v/>
      </c>
    </row>
    <row r="1342" spans="1:25" hidden="1">
      <c r="A1342" s="155" t="s">
        <v>183</v>
      </c>
      <c r="B1342" s="156"/>
      <c r="C1342" s="411" t="s">
        <v>323</v>
      </c>
      <c r="D1342" s="351"/>
      <c r="E1342" s="405">
        <v>20</v>
      </c>
      <c r="F1342" s="406">
        <f>VLOOKUP(C1339,'ENSAIOS DE ORÇAMENTO'!$C$3:$L$79,6,FALSE)</f>
        <v>1.5118200000000002</v>
      </c>
      <c r="G1342" s="158">
        <f t="shared" si="392"/>
        <v>20.031615000000002</v>
      </c>
      <c r="H1342" s="465"/>
      <c r="I1342" s="465"/>
      <c r="J1342" s="407">
        <f t="shared" si="386"/>
        <v>0</v>
      </c>
      <c r="K1342" s="408"/>
      <c r="L1342" s="152">
        <v>0</v>
      </c>
      <c r="M1342" s="213"/>
      <c r="N1342" s="402">
        <f t="shared" si="363"/>
        <v>0</v>
      </c>
      <c r="O1342" s="402">
        <f t="shared" si="364"/>
        <v>0</v>
      </c>
      <c r="P1342" s="403"/>
      <c r="Q1342" s="464"/>
      <c r="R1342" s="464"/>
      <c r="S1342" s="402">
        <f t="shared" si="365"/>
        <v>0</v>
      </c>
      <c r="T1342" s="404">
        <f t="shared" si="393"/>
        <v>0</v>
      </c>
      <c r="U1342" s="403"/>
      <c r="V1342" s="160" t="str">
        <f>IF(T1339&gt;0,"xx",IF(O1339&gt;0,"xy",""))</f>
        <v/>
      </c>
      <c r="W1342" s="43" t="str">
        <f t="shared" si="376"/>
        <v/>
      </c>
      <c r="X1342" s="43" t="str">
        <f t="shared" si="391"/>
        <v/>
      </c>
      <c r="Y1342" s="43" t="str">
        <f t="shared" si="388"/>
        <v/>
      </c>
    </row>
    <row r="1343" spans="1:25" hidden="1">
      <c r="A1343" s="155" t="s">
        <v>183</v>
      </c>
      <c r="B1343" s="156"/>
      <c r="C1343" s="411" t="s">
        <v>511</v>
      </c>
      <c r="D1343" s="351"/>
      <c r="E1343" s="405">
        <v>30</v>
      </c>
      <c r="F1343" s="406">
        <f>VLOOKUP(C1339,'ENSAIOS DE ORÇAMENTO'!$C$3:$L$79,3,FALSE)</f>
        <v>0</v>
      </c>
      <c r="G1343" s="158">
        <f t="shared" si="392"/>
        <v>0</v>
      </c>
      <c r="H1343" s="465"/>
      <c r="I1343" s="465"/>
      <c r="J1343" s="407">
        <f t="shared" si="386"/>
        <v>0</v>
      </c>
      <c r="K1343" s="408"/>
      <c r="L1343" s="152">
        <v>0</v>
      </c>
      <c r="M1343" s="213"/>
      <c r="N1343" s="402">
        <f t="shared" si="363"/>
        <v>0</v>
      </c>
      <c r="O1343" s="402">
        <f t="shared" si="364"/>
        <v>0</v>
      </c>
      <c r="P1343" s="403"/>
      <c r="Q1343" s="464"/>
      <c r="R1343" s="464"/>
      <c r="S1343" s="402">
        <f t="shared" si="365"/>
        <v>0</v>
      </c>
      <c r="T1343" s="404">
        <f t="shared" si="393"/>
        <v>0</v>
      </c>
      <c r="U1343" s="403"/>
      <c r="V1343" s="160" t="str">
        <f>IF(T1339&gt;0,"xx",IF(O1339&gt;0,"xy",""))</f>
        <v/>
      </c>
      <c r="W1343" s="43" t="str">
        <f t="shared" si="376"/>
        <v/>
      </c>
      <c r="X1343" s="43" t="str">
        <f t="shared" si="391"/>
        <v/>
      </c>
      <c r="Y1343" s="43" t="str">
        <f t="shared" si="388"/>
        <v/>
      </c>
    </row>
    <row r="1344" spans="1:25" hidden="1">
      <c r="A1344" s="155" t="s">
        <v>183</v>
      </c>
      <c r="B1344" s="156"/>
      <c r="C1344" s="411" t="s">
        <v>512</v>
      </c>
      <c r="D1344" s="351"/>
      <c r="E1344" s="405">
        <v>500</v>
      </c>
      <c r="F1344" s="406">
        <f>VLOOKUP(C1339,'ENSAIOS DE ORÇAMENTO'!$C$3:$L$79,10,FALSE)</f>
        <v>0</v>
      </c>
      <c r="G1344" s="158">
        <f t="shared" ref="G1344" si="394">IF(E1344&lt;=30,(0.42*E1344+3.55)*F1344,((0.42*30+3.55)+0.35*(E1344-30))*F1344)</f>
        <v>0</v>
      </c>
      <c r="H1344" s="465"/>
      <c r="I1344" s="465"/>
      <c r="J1344" s="407">
        <f t="shared" si="386"/>
        <v>0</v>
      </c>
      <c r="K1344" s="408"/>
      <c r="L1344" s="152">
        <v>0</v>
      </c>
      <c r="M1344" s="213"/>
      <c r="N1344" s="402">
        <f t="shared" si="363"/>
        <v>0</v>
      </c>
      <c r="O1344" s="402">
        <f t="shared" si="364"/>
        <v>0</v>
      </c>
      <c r="P1344" s="403"/>
      <c r="Q1344" s="464"/>
      <c r="R1344" s="464"/>
      <c r="S1344" s="402">
        <f t="shared" si="365"/>
        <v>0</v>
      </c>
      <c r="T1344" s="404">
        <f t="shared" si="393"/>
        <v>0</v>
      </c>
      <c r="U1344" s="403"/>
      <c r="V1344" s="160" t="str">
        <f>IF(T1339&gt;0,"xx",IF(O1339&gt;0,"xy",""))</f>
        <v/>
      </c>
      <c r="W1344" s="43" t="str">
        <f t="shared" si="376"/>
        <v/>
      </c>
      <c r="X1344" s="43" t="str">
        <f t="shared" si="391"/>
        <v/>
      </c>
      <c r="Y1344" s="43" t="str">
        <f t="shared" si="388"/>
        <v/>
      </c>
    </row>
    <row r="1345" spans="1:25" hidden="1">
      <c r="A1345" s="155" t="s">
        <v>123</v>
      </c>
      <c r="B1345" s="156" t="s">
        <v>242</v>
      </c>
      <c r="C1345" s="411" t="s">
        <v>514</v>
      </c>
      <c r="D1345" s="351"/>
      <c r="E1345" s="405"/>
      <c r="F1345" s="406">
        <f>F1369</f>
        <v>0</v>
      </c>
      <c r="G1345" s="158">
        <f>SUM(G1346:G1350)</f>
        <v>271.46263500000003</v>
      </c>
      <c r="H1345" s="465">
        <f>VLOOKUP(C1345,'ENSAIOS DE ORÇAMENTO'!$C$3:$L$79,8,FALSE)</f>
        <v>888.75184000000013</v>
      </c>
      <c r="I1345" s="465">
        <f>IF(ISBLANK(H1345),"",SUM(G1345:H1345))*0.95</f>
        <v>1102.2037512500001</v>
      </c>
      <c r="J1345" s="407">
        <f t="shared" si="386"/>
        <v>1397.59</v>
      </c>
      <c r="K1345" s="408" t="s">
        <v>23</v>
      </c>
      <c r="L1345" s="152">
        <v>0</v>
      </c>
      <c r="M1345" s="152"/>
      <c r="N1345" s="402">
        <f t="shared" ref="N1345:N1413" si="395">IF(ISBLANK(L1345),0,ROUND(J1345*L1345,2))</f>
        <v>0</v>
      </c>
      <c r="O1345" s="402">
        <f t="shared" ref="O1345:O1413" si="396">IF(ISBLANK(M1345),0,ROUND(L1345*M1345,2))</f>
        <v>0</v>
      </c>
      <c r="P1345" s="403"/>
      <c r="Q1345" s="152">
        <f t="shared" si="377"/>
        <v>0</v>
      </c>
      <c r="R1345" s="152">
        <f t="shared" si="377"/>
        <v>0</v>
      </c>
      <c r="S1345" s="402">
        <f t="shared" ref="S1345:S1413" si="397">IF(ISBLANK(Q1345),0,ROUND(J1345*Q1345,2))</f>
        <v>0</v>
      </c>
      <c r="T1345" s="404">
        <f t="shared" si="393"/>
        <v>0</v>
      </c>
      <c r="U1345" s="403"/>
      <c r="W1345" s="43" t="str">
        <f t="shared" si="376"/>
        <v/>
      </c>
      <c r="X1345" s="43" t="str">
        <f t="shared" si="391"/>
        <v/>
      </c>
      <c r="Y1345" s="43" t="str">
        <f t="shared" si="388"/>
        <v/>
      </c>
    </row>
    <row r="1346" spans="1:25" hidden="1">
      <c r="A1346" s="155" t="s">
        <v>183</v>
      </c>
      <c r="B1346" s="156"/>
      <c r="C1346" s="411" t="s">
        <v>251</v>
      </c>
      <c r="D1346" s="351"/>
      <c r="E1346" s="405">
        <v>500</v>
      </c>
      <c r="F1346" s="406">
        <f>VLOOKUP(C1345,'ENSAIOS DE ORÇAMENTO'!$C$3:$L$79,4,FALSE)</f>
        <v>0.54380000000000006</v>
      </c>
      <c r="G1346" s="158">
        <f>IF(E1346&lt;=30,(0.42*E1346+3.55)*F1346,((0.42*30+3.55)+0.35*(E1346-30))*F1346)</f>
        <v>98.237470000000016</v>
      </c>
      <c r="H1346" s="465"/>
      <c r="I1346" s="465"/>
      <c r="J1346" s="407">
        <f t="shared" si="386"/>
        <v>0</v>
      </c>
      <c r="K1346" s="408"/>
      <c r="L1346" s="152">
        <v>0</v>
      </c>
      <c r="M1346" s="213"/>
      <c r="N1346" s="402">
        <f t="shared" si="395"/>
        <v>0</v>
      </c>
      <c r="O1346" s="402">
        <f t="shared" si="396"/>
        <v>0</v>
      </c>
      <c r="P1346" s="403"/>
      <c r="Q1346" s="464"/>
      <c r="R1346" s="464"/>
      <c r="S1346" s="402">
        <f t="shared" si="397"/>
        <v>0</v>
      </c>
      <c r="T1346" s="404">
        <f t="shared" si="393"/>
        <v>0</v>
      </c>
      <c r="U1346" s="403"/>
      <c r="V1346" s="160" t="str">
        <f>IF(T1345&gt;0,"xx",IF(O1345&gt;0,"xy",""))</f>
        <v/>
      </c>
      <c r="W1346" s="43" t="str">
        <f t="shared" si="376"/>
        <v/>
      </c>
      <c r="X1346" s="43" t="str">
        <f t="shared" si="391"/>
        <v/>
      </c>
      <c r="Y1346" s="43" t="str">
        <f t="shared" si="388"/>
        <v/>
      </c>
    </row>
    <row r="1347" spans="1:25" hidden="1">
      <c r="A1347" s="155" t="s">
        <v>183</v>
      </c>
      <c r="B1347" s="156"/>
      <c r="C1347" s="411" t="s">
        <v>314</v>
      </c>
      <c r="D1347" s="351"/>
      <c r="E1347" s="405">
        <v>180</v>
      </c>
      <c r="F1347" s="406">
        <f>VLOOKUP(C1345,'ENSAIOS DE ORÇAMENTO'!$C$3:$L$79,5,FALSE)</f>
        <v>1.5739000000000001</v>
      </c>
      <c r="G1347" s="158">
        <f t="shared" ref="G1347:G1349" si="398">IF(E1347&lt;=30,(0.6*E1347+1.25)*F1347,((0.6*30+1.25)+0.5*(E1347-30))*F1347)</f>
        <v>148.34007500000001</v>
      </c>
      <c r="H1347" s="465"/>
      <c r="I1347" s="465"/>
      <c r="J1347" s="407">
        <f t="shared" si="386"/>
        <v>0</v>
      </c>
      <c r="K1347" s="408"/>
      <c r="L1347" s="152">
        <v>0</v>
      </c>
      <c r="M1347" s="213"/>
      <c r="N1347" s="402">
        <f t="shared" si="395"/>
        <v>0</v>
      </c>
      <c r="O1347" s="402">
        <f t="shared" si="396"/>
        <v>0</v>
      </c>
      <c r="P1347" s="403"/>
      <c r="Q1347" s="464"/>
      <c r="R1347" s="464"/>
      <c r="S1347" s="402">
        <f t="shared" si="397"/>
        <v>0</v>
      </c>
      <c r="T1347" s="404">
        <f t="shared" si="393"/>
        <v>0</v>
      </c>
      <c r="U1347" s="403"/>
      <c r="V1347" s="160" t="str">
        <f>IF(T1345&gt;0,"xx",IF(O1345&gt;0,"xy",""))</f>
        <v/>
      </c>
      <c r="W1347" s="43" t="str">
        <f t="shared" si="376"/>
        <v/>
      </c>
      <c r="X1347" s="43" t="str">
        <f t="shared" si="391"/>
        <v/>
      </c>
      <c r="Y1347" s="43" t="str">
        <f t="shared" si="388"/>
        <v/>
      </c>
    </row>
    <row r="1348" spans="1:25" hidden="1">
      <c r="A1348" s="155" t="s">
        <v>183</v>
      </c>
      <c r="B1348" s="156"/>
      <c r="C1348" s="411" t="s">
        <v>323</v>
      </c>
      <c r="D1348" s="351"/>
      <c r="E1348" s="405">
        <v>20</v>
      </c>
      <c r="F1348" s="406">
        <f>VLOOKUP(C1345,'ENSAIOS DE ORÇAMENTO'!$C$3:$L$79,6,FALSE)</f>
        <v>1.8781200000000002</v>
      </c>
      <c r="G1348" s="158">
        <f t="shared" si="398"/>
        <v>24.885090000000002</v>
      </c>
      <c r="H1348" s="465"/>
      <c r="I1348" s="465"/>
      <c r="J1348" s="407">
        <f t="shared" si="386"/>
        <v>0</v>
      </c>
      <c r="K1348" s="408"/>
      <c r="L1348" s="152">
        <v>0</v>
      </c>
      <c r="M1348" s="213"/>
      <c r="N1348" s="402">
        <f t="shared" si="395"/>
        <v>0</v>
      </c>
      <c r="O1348" s="402">
        <f t="shared" si="396"/>
        <v>0</v>
      </c>
      <c r="P1348" s="403"/>
      <c r="Q1348" s="464"/>
      <c r="R1348" s="464"/>
      <c r="S1348" s="402">
        <f t="shared" si="397"/>
        <v>0</v>
      </c>
      <c r="T1348" s="404">
        <f t="shared" si="393"/>
        <v>0</v>
      </c>
      <c r="U1348" s="403"/>
      <c r="V1348" s="160" t="str">
        <f>IF(T1345&gt;0,"xx",IF(O1345&gt;0,"xy",""))</f>
        <v/>
      </c>
      <c r="W1348" s="43" t="str">
        <f t="shared" si="376"/>
        <v/>
      </c>
      <c r="X1348" s="43" t="str">
        <f t="shared" si="391"/>
        <v/>
      </c>
      <c r="Y1348" s="43" t="str">
        <f t="shared" si="388"/>
        <v/>
      </c>
    </row>
    <row r="1349" spans="1:25" hidden="1">
      <c r="A1349" s="155" t="s">
        <v>183</v>
      </c>
      <c r="B1349" s="156"/>
      <c r="C1349" s="411" t="s">
        <v>511</v>
      </c>
      <c r="D1349" s="351"/>
      <c r="E1349" s="405">
        <v>30</v>
      </c>
      <c r="F1349" s="406">
        <f>VLOOKUP(C1345,'ENSAIOS DE ORÇAMENTO'!$C$3:$L$79,3,FALSE)</f>
        <v>0</v>
      </c>
      <c r="G1349" s="158">
        <f t="shared" si="398"/>
        <v>0</v>
      </c>
      <c r="H1349" s="465"/>
      <c r="I1349" s="465"/>
      <c r="J1349" s="407">
        <f t="shared" si="386"/>
        <v>0</v>
      </c>
      <c r="K1349" s="408"/>
      <c r="L1349" s="152">
        <v>0</v>
      </c>
      <c r="M1349" s="213"/>
      <c r="N1349" s="402">
        <f t="shared" si="395"/>
        <v>0</v>
      </c>
      <c r="O1349" s="402">
        <f t="shared" si="396"/>
        <v>0</v>
      </c>
      <c r="P1349" s="403"/>
      <c r="Q1349" s="464"/>
      <c r="R1349" s="464"/>
      <c r="S1349" s="402">
        <f t="shared" si="397"/>
        <v>0</v>
      </c>
      <c r="T1349" s="404">
        <f t="shared" si="393"/>
        <v>0</v>
      </c>
      <c r="U1349" s="403"/>
      <c r="V1349" s="160" t="str">
        <f>IF(T1345&gt;0,"xx",IF(O1345&gt;0,"xy",""))</f>
        <v/>
      </c>
      <c r="W1349" s="43" t="str">
        <f t="shared" si="376"/>
        <v/>
      </c>
      <c r="X1349" s="43" t="str">
        <f t="shared" si="391"/>
        <v/>
      </c>
      <c r="Y1349" s="43" t="str">
        <f t="shared" si="388"/>
        <v/>
      </c>
    </row>
    <row r="1350" spans="1:25" hidden="1">
      <c r="A1350" s="155" t="s">
        <v>183</v>
      </c>
      <c r="B1350" s="156"/>
      <c r="C1350" s="411" t="s">
        <v>512</v>
      </c>
      <c r="D1350" s="351"/>
      <c r="E1350" s="405">
        <v>500</v>
      </c>
      <c r="F1350" s="406">
        <f>VLOOKUP(C1345,'ENSAIOS DE ORÇAMENTO'!$C$3:$L$79,10,FALSE)</f>
        <v>0</v>
      </c>
      <c r="G1350" s="158">
        <f t="shared" ref="G1350" si="399">IF(E1350&lt;=30,(0.42*E1350+3.55)*F1350,((0.42*30+3.55)+0.35*(E1350-30))*F1350)</f>
        <v>0</v>
      </c>
      <c r="H1350" s="465"/>
      <c r="I1350" s="465"/>
      <c r="J1350" s="407">
        <f t="shared" si="386"/>
        <v>0</v>
      </c>
      <c r="K1350" s="408"/>
      <c r="L1350" s="152">
        <v>0</v>
      </c>
      <c r="M1350" s="213"/>
      <c r="N1350" s="402">
        <f t="shared" si="395"/>
        <v>0</v>
      </c>
      <c r="O1350" s="402">
        <f t="shared" si="396"/>
        <v>0</v>
      </c>
      <c r="P1350" s="403"/>
      <c r="Q1350" s="464"/>
      <c r="R1350" s="464"/>
      <c r="S1350" s="402">
        <f t="shared" si="397"/>
        <v>0</v>
      </c>
      <c r="T1350" s="404">
        <f t="shared" si="393"/>
        <v>0</v>
      </c>
      <c r="U1350" s="403"/>
      <c r="V1350" s="160" t="str">
        <f>IF(T1345&gt;0,"xx",IF(O1345&gt;0,"xy",""))</f>
        <v/>
      </c>
      <c r="W1350" s="43" t="str">
        <f t="shared" si="376"/>
        <v/>
      </c>
      <c r="X1350" s="43" t="str">
        <f t="shared" si="391"/>
        <v/>
      </c>
      <c r="Y1350" s="43" t="str">
        <f t="shared" si="388"/>
        <v/>
      </c>
    </row>
    <row r="1351" spans="1:25" hidden="1">
      <c r="A1351" s="155" t="s">
        <v>124</v>
      </c>
      <c r="B1351" s="156" t="s">
        <v>242</v>
      </c>
      <c r="C1351" s="411" t="s">
        <v>515</v>
      </c>
      <c r="D1351" s="351"/>
      <c r="E1351" s="405"/>
      <c r="F1351" s="406">
        <f>F1375</f>
        <v>0</v>
      </c>
      <c r="G1351" s="158">
        <f>SUM(G1352:G1356)</f>
        <v>358.47081000000003</v>
      </c>
      <c r="H1351" s="465">
        <f>VLOOKUP(C1351,'ENSAIOS DE ORÇAMENTO'!$C$3:$L$79,8,FALSE)</f>
        <v>1115.37264</v>
      </c>
      <c r="I1351" s="465">
        <f>IF(ISBLANK(H1351),"",SUM(G1351:H1351))*0.95</f>
        <v>1400.1512775000001</v>
      </c>
      <c r="J1351" s="407">
        <f t="shared" si="386"/>
        <v>1775.39</v>
      </c>
      <c r="K1351" s="408" t="s">
        <v>23</v>
      </c>
      <c r="L1351" s="152">
        <v>0</v>
      </c>
      <c r="M1351" s="152"/>
      <c r="N1351" s="402">
        <f t="shared" si="395"/>
        <v>0</v>
      </c>
      <c r="O1351" s="402">
        <f t="shared" si="396"/>
        <v>0</v>
      </c>
      <c r="P1351" s="403"/>
      <c r="Q1351" s="152">
        <f t="shared" si="377"/>
        <v>0</v>
      </c>
      <c r="R1351" s="152">
        <f t="shared" si="377"/>
        <v>0</v>
      </c>
      <c r="S1351" s="402">
        <f t="shared" si="397"/>
        <v>0</v>
      </c>
      <c r="T1351" s="404">
        <f t="shared" si="393"/>
        <v>0</v>
      </c>
      <c r="U1351" s="403"/>
      <c r="W1351" s="43" t="str">
        <f t="shared" si="376"/>
        <v/>
      </c>
      <c r="X1351" s="43" t="str">
        <f t="shared" si="391"/>
        <v/>
      </c>
      <c r="Y1351" s="43" t="str">
        <f t="shared" si="388"/>
        <v/>
      </c>
    </row>
    <row r="1352" spans="1:25" hidden="1">
      <c r="A1352" s="155" t="s">
        <v>183</v>
      </c>
      <c r="B1352" s="156"/>
      <c r="C1352" s="411" t="s">
        <v>251</v>
      </c>
      <c r="D1352" s="351"/>
      <c r="E1352" s="405">
        <v>500</v>
      </c>
      <c r="F1352" s="406">
        <f>VLOOKUP(C1351,'ENSAIOS DE ORÇAMENTO'!$C$3:$L$79,4,FALSE)</f>
        <v>0.72200000000000009</v>
      </c>
      <c r="G1352" s="158">
        <f>IF(E1352&lt;=30,(0.42*E1352+3.55)*F1352,((0.42*30+3.55)+0.35*(E1352-30))*F1352)</f>
        <v>130.42930000000001</v>
      </c>
      <c r="H1352" s="465"/>
      <c r="I1352" s="465"/>
      <c r="J1352" s="407">
        <f t="shared" si="386"/>
        <v>0</v>
      </c>
      <c r="K1352" s="408"/>
      <c r="L1352" s="152">
        <v>0</v>
      </c>
      <c r="M1352" s="213"/>
      <c r="N1352" s="402">
        <f t="shared" si="395"/>
        <v>0</v>
      </c>
      <c r="O1352" s="402">
        <f t="shared" si="396"/>
        <v>0</v>
      </c>
      <c r="P1352" s="403"/>
      <c r="Q1352" s="464"/>
      <c r="R1352" s="464"/>
      <c r="S1352" s="402">
        <f t="shared" si="397"/>
        <v>0</v>
      </c>
      <c r="T1352" s="404">
        <f t="shared" si="393"/>
        <v>0</v>
      </c>
      <c r="U1352" s="403"/>
      <c r="V1352" s="160" t="str">
        <f>IF(T1351&gt;0,"xx",IF(O1351&gt;0,"xy",""))</f>
        <v/>
      </c>
      <c r="W1352" s="43" t="str">
        <f t="shared" si="376"/>
        <v/>
      </c>
      <c r="X1352" s="43" t="str">
        <f t="shared" si="391"/>
        <v/>
      </c>
      <c r="Y1352" s="43" t="str">
        <f t="shared" si="388"/>
        <v/>
      </c>
    </row>
    <row r="1353" spans="1:25" hidden="1">
      <c r="A1353" s="155" t="s">
        <v>183</v>
      </c>
      <c r="B1353" s="156"/>
      <c r="C1353" s="411" t="s">
        <v>314</v>
      </c>
      <c r="D1353" s="351"/>
      <c r="E1353" s="405">
        <v>180</v>
      </c>
      <c r="F1353" s="406">
        <f>VLOOKUP(C1351,'ENSAIOS DE ORÇAMENTO'!$C$3:$L$79,5,FALSE)</f>
        <v>2.0712400000000004</v>
      </c>
      <c r="G1353" s="158">
        <f t="shared" ref="G1353:G1355" si="400">IF(E1353&lt;=30,(0.6*E1353+1.25)*F1353,((0.6*30+1.25)+0.5*(E1353-30))*F1353)</f>
        <v>195.21437000000003</v>
      </c>
      <c r="H1353" s="465"/>
      <c r="I1353" s="465"/>
      <c r="J1353" s="407">
        <f t="shared" si="386"/>
        <v>0</v>
      </c>
      <c r="K1353" s="408"/>
      <c r="L1353" s="152">
        <v>0</v>
      </c>
      <c r="M1353" s="213"/>
      <c r="N1353" s="402">
        <f t="shared" si="395"/>
        <v>0</v>
      </c>
      <c r="O1353" s="402">
        <f t="shared" si="396"/>
        <v>0</v>
      </c>
      <c r="P1353" s="403"/>
      <c r="Q1353" s="464"/>
      <c r="R1353" s="464"/>
      <c r="S1353" s="402">
        <f t="shared" si="397"/>
        <v>0</v>
      </c>
      <c r="T1353" s="404">
        <f t="shared" si="393"/>
        <v>0</v>
      </c>
      <c r="U1353" s="403"/>
      <c r="V1353" s="160" t="str">
        <f>IF(T1351&gt;0,"xx",IF(O1351&gt;0,"xy",""))</f>
        <v/>
      </c>
      <c r="W1353" s="43" t="str">
        <f t="shared" si="376"/>
        <v/>
      </c>
      <c r="X1353" s="43" t="str">
        <f t="shared" si="391"/>
        <v/>
      </c>
      <c r="Y1353" s="43" t="str">
        <f t="shared" si="388"/>
        <v/>
      </c>
    </row>
    <row r="1354" spans="1:25" hidden="1">
      <c r="A1354" s="155" t="s">
        <v>183</v>
      </c>
      <c r="B1354" s="156"/>
      <c r="C1354" s="411" t="s">
        <v>323</v>
      </c>
      <c r="D1354" s="351"/>
      <c r="E1354" s="405">
        <v>20</v>
      </c>
      <c r="F1354" s="406">
        <f>VLOOKUP(C1351,'ENSAIOS DE ORÇAMENTO'!$C$3:$L$79,6,FALSE)</f>
        <v>2.4775200000000002</v>
      </c>
      <c r="G1354" s="158">
        <f t="shared" si="400"/>
        <v>32.82714</v>
      </c>
      <c r="H1354" s="465"/>
      <c r="I1354" s="465"/>
      <c r="J1354" s="407">
        <f t="shared" si="386"/>
        <v>0</v>
      </c>
      <c r="K1354" s="408"/>
      <c r="L1354" s="152">
        <v>0</v>
      </c>
      <c r="M1354" s="213"/>
      <c r="N1354" s="402">
        <f t="shared" si="395"/>
        <v>0</v>
      </c>
      <c r="O1354" s="402">
        <f t="shared" si="396"/>
        <v>0</v>
      </c>
      <c r="P1354" s="403"/>
      <c r="Q1354" s="464"/>
      <c r="R1354" s="464"/>
      <c r="S1354" s="402">
        <f t="shared" si="397"/>
        <v>0</v>
      </c>
      <c r="T1354" s="404">
        <f t="shared" si="393"/>
        <v>0</v>
      </c>
      <c r="U1354" s="403"/>
      <c r="V1354" s="160" t="str">
        <f>IF(T1351&gt;0,"xx",IF(O1351&gt;0,"xy",""))</f>
        <v/>
      </c>
      <c r="W1354" s="43" t="str">
        <f t="shared" si="376"/>
        <v/>
      </c>
      <c r="X1354" s="43" t="str">
        <f t="shared" si="391"/>
        <v/>
      </c>
      <c r="Y1354" s="43" t="str">
        <f t="shared" si="388"/>
        <v/>
      </c>
    </row>
    <row r="1355" spans="1:25" hidden="1">
      <c r="A1355" s="155" t="s">
        <v>183</v>
      </c>
      <c r="B1355" s="156"/>
      <c r="C1355" s="411" t="s">
        <v>511</v>
      </c>
      <c r="D1355" s="351"/>
      <c r="E1355" s="405">
        <v>30</v>
      </c>
      <c r="F1355" s="406">
        <f>VLOOKUP(C1351,'ENSAIOS DE ORÇAMENTO'!$C$3:$L$79,3,FALSE)</f>
        <v>0</v>
      </c>
      <c r="G1355" s="158">
        <f t="shared" si="400"/>
        <v>0</v>
      </c>
      <c r="H1355" s="465"/>
      <c r="I1355" s="465"/>
      <c r="J1355" s="407">
        <f t="shared" si="386"/>
        <v>0</v>
      </c>
      <c r="K1355" s="408"/>
      <c r="L1355" s="152">
        <v>0</v>
      </c>
      <c r="M1355" s="213"/>
      <c r="N1355" s="402">
        <f t="shared" si="395"/>
        <v>0</v>
      </c>
      <c r="O1355" s="402">
        <f t="shared" si="396"/>
        <v>0</v>
      </c>
      <c r="P1355" s="403"/>
      <c r="Q1355" s="464"/>
      <c r="R1355" s="464"/>
      <c r="S1355" s="402">
        <f t="shared" si="397"/>
        <v>0</v>
      </c>
      <c r="T1355" s="404">
        <f t="shared" si="393"/>
        <v>0</v>
      </c>
      <c r="U1355" s="403"/>
      <c r="V1355" s="160" t="str">
        <f>IF(T1351&gt;0,"xx",IF(O1351&gt;0,"xy",""))</f>
        <v/>
      </c>
      <c r="W1355" s="43" t="str">
        <f t="shared" si="376"/>
        <v/>
      </c>
      <c r="X1355" s="43" t="str">
        <f t="shared" si="391"/>
        <v/>
      </c>
      <c r="Y1355" s="43" t="str">
        <f t="shared" si="388"/>
        <v/>
      </c>
    </row>
    <row r="1356" spans="1:25" hidden="1">
      <c r="A1356" s="155" t="s">
        <v>183</v>
      </c>
      <c r="B1356" s="156"/>
      <c r="C1356" s="411" t="s">
        <v>512</v>
      </c>
      <c r="D1356" s="351"/>
      <c r="E1356" s="405">
        <v>500</v>
      </c>
      <c r="F1356" s="406">
        <f>VLOOKUP(C1351,'ENSAIOS DE ORÇAMENTO'!$C$3:$L$79,10,FALSE)</f>
        <v>0</v>
      </c>
      <c r="G1356" s="158">
        <f t="shared" ref="G1356" si="401">IF(E1356&lt;=30,(0.42*E1356+3.55)*F1356,((0.42*30+3.55)+0.35*(E1356-30))*F1356)</f>
        <v>0</v>
      </c>
      <c r="H1356" s="465"/>
      <c r="I1356" s="465"/>
      <c r="J1356" s="407">
        <f t="shared" si="386"/>
        <v>0</v>
      </c>
      <c r="K1356" s="408"/>
      <c r="L1356" s="152">
        <v>0</v>
      </c>
      <c r="M1356" s="213"/>
      <c r="N1356" s="402">
        <f t="shared" si="395"/>
        <v>0</v>
      </c>
      <c r="O1356" s="402">
        <f t="shared" si="396"/>
        <v>0</v>
      </c>
      <c r="P1356" s="403"/>
      <c r="Q1356" s="464"/>
      <c r="R1356" s="464"/>
      <c r="S1356" s="402">
        <f t="shared" si="397"/>
        <v>0</v>
      </c>
      <c r="T1356" s="404">
        <f t="shared" si="393"/>
        <v>0</v>
      </c>
      <c r="U1356" s="403"/>
      <c r="V1356" s="160" t="str">
        <f>IF(T1351&gt;0,"xx",IF(O1351&gt;0,"xy",""))</f>
        <v/>
      </c>
      <c r="W1356" s="43" t="str">
        <f t="shared" si="376"/>
        <v/>
      </c>
      <c r="X1356" s="43" t="str">
        <f t="shared" si="391"/>
        <v/>
      </c>
      <c r="Y1356" s="43" t="str">
        <f t="shared" si="388"/>
        <v/>
      </c>
    </row>
    <row r="1357" spans="1:25" hidden="1">
      <c r="A1357" s="155" t="s">
        <v>125</v>
      </c>
      <c r="B1357" s="156" t="s">
        <v>242</v>
      </c>
      <c r="C1357" s="411" t="s">
        <v>516</v>
      </c>
      <c r="D1357" s="351"/>
      <c r="E1357" s="405"/>
      <c r="F1357" s="406">
        <f>F1381</f>
        <v>0</v>
      </c>
      <c r="G1357" s="158">
        <f>SUM(G1358:G1362)</f>
        <v>447.09024750000003</v>
      </c>
      <c r="H1357" s="465">
        <f>VLOOKUP(C1357,'ENSAIOS DE ORÇAMENTO'!$C$3:$L$79,8,FALSE)</f>
        <v>1345.45604</v>
      </c>
      <c r="I1357" s="465">
        <f>IF(ISBLANK(H1357),"",SUM(G1357:H1357))*0.95</f>
        <v>1702.9189731249999</v>
      </c>
      <c r="J1357" s="407">
        <f t="shared" si="386"/>
        <v>2159.3000000000002</v>
      </c>
      <c r="K1357" s="408" t="s">
        <v>23</v>
      </c>
      <c r="L1357" s="152">
        <v>0</v>
      </c>
      <c r="M1357" s="152"/>
      <c r="N1357" s="402">
        <f t="shared" si="395"/>
        <v>0</v>
      </c>
      <c r="O1357" s="402">
        <f t="shared" si="396"/>
        <v>0</v>
      </c>
      <c r="P1357" s="403"/>
      <c r="Q1357" s="152">
        <f t="shared" si="377"/>
        <v>0</v>
      </c>
      <c r="R1357" s="152">
        <f t="shared" si="377"/>
        <v>0</v>
      </c>
      <c r="S1357" s="402">
        <f t="shared" si="397"/>
        <v>0</v>
      </c>
      <c r="T1357" s="404">
        <f t="shared" si="393"/>
        <v>0</v>
      </c>
      <c r="U1357" s="403"/>
      <c r="W1357" s="43" t="str">
        <f t="shared" si="376"/>
        <v/>
      </c>
      <c r="X1357" s="43" t="str">
        <f t="shared" si="391"/>
        <v/>
      </c>
      <c r="Y1357" s="43" t="str">
        <f t="shared" si="388"/>
        <v/>
      </c>
    </row>
    <row r="1358" spans="1:25" hidden="1">
      <c r="A1358" s="155" t="s">
        <v>183</v>
      </c>
      <c r="B1358" s="156"/>
      <c r="C1358" s="411" t="s">
        <v>251</v>
      </c>
      <c r="D1358" s="351"/>
      <c r="E1358" s="405">
        <v>500</v>
      </c>
      <c r="F1358" s="406">
        <f>VLOOKUP(C1357,'ENSAIOS DE ORÇAMENTO'!$C$3:$L$79,4,FALSE)</f>
        <v>0.90349999999999997</v>
      </c>
      <c r="G1358" s="158">
        <f>IF(E1358&lt;=30,(0.42*E1358+3.55)*F1358,((0.42*30+3.55)+0.35*(E1358-30))*F1358)</f>
        <v>163.217275</v>
      </c>
      <c r="H1358" s="465"/>
      <c r="I1358" s="465"/>
      <c r="J1358" s="407">
        <f t="shared" si="386"/>
        <v>0</v>
      </c>
      <c r="K1358" s="408"/>
      <c r="L1358" s="152">
        <v>0</v>
      </c>
      <c r="M1358" s="213"/>
      <c r="N1358" s="402">
        <f t="shared" si="395"/>
        <v>0</v>
      </c>
      <c r="O1358" s="402">
        <f t="shared" si="396"/>
        <v>0</v>
      </c>
      <c r="P1358" s="403"/>
      <c r="Q1358" s="464"/>
      <c r="R1358" s="464"/>
      <c r="S1358" s="402">
        <f t="shared" si="397"/>
        <v>0</v>
      </c>
      <c r="T1358" s="404">
        <f t="shared" si="393"/>
        <v>0</v>
      </c>
      <c r="U1358" s="403"/>
      <c r="V1358" s="160" t="str">
        <f>IF(T1357&gt;0,"xx",IF(O1357&gt;0,"xy",""))</f>
        <v/>
      </c>
      <c r="W1358" s="43" t="str">
        <f t="shared" si="376"/>
        <v/>
      </c>
      <c r="X1358" s="43" t="str">
        <f t="shared" si="391"/>
        <v/>
      </c>
      <c r="Y1358" s="43" t="str">
        <f t="shared" si="388"/>
        <v/>
      </c>
    </row>
    <row r="1359" spans="1:25" hidden="1">
      <c r="A1359" s="155" t="s">
        <v>183</v>
      </c>
      <c r="B1359" s="156"/>
      <c r="C1359" s="411" t="s">
        <v>314</v>
      </c>
      <c r="D1359" s="351"/>
      <c r="E1359" s="405">
        <v>180</v>
      </c>
      <c r="F1359" s="406">
        <f>VLOOKUP(C1357,'ENSAIOS DE ORÇAMENTO'!$C$3:$L$79,5,FALSE)</f>
        <v>2.5777900000000002</v>
      </c>
      <c r="G1359" s="158">
        <f t="shared" ref="G1359:G1361" si="402">IF(E1359&lt;=30,(0.6*E1359+1.25)*F1359,((0.6*30+1.25)+0.5*(E1359-30))*F1359)</f>
        <v>242.95670750000002</v>
      </c>
      <c r="H1359" s="465"/>
      <c r="I1359" s="465"/>
      <c r="J1359" s="407">
        <f t="shared" si="386"/>
        <v>0</v>
      </c>
      <c r="K1359" s="408"/>
      <c r="L1359" s="152">
        <v>0</v>
      </c>
      <c r="M1359" s="213"/>
      <c r="N1359" s="402">
        <f t="shared" si="395"/>
        <v>0</v>
      </c>
      <c r="O1359" s="402">
        <f t="shared" si="396"/>
        <v>0</v>
      </c>
      <c r="P1359" s="403"/>
      <c r="Q1359" s="464"/>
      <c r="R1359" s="464"/>
      <c r="S1359" s="402">
        <f t="shared" si="397"/>
        <v>0</v>
      </c>
      <c r="T1359" s="404">
        <f t="shared" si="393"/>
        <v>0</v>
      </c>
      <c r="U1359" s="403"/>
      <c r="V1359" s="160" t="str">
        <f>IF(T1357&gt;0,"xx",IF(O1357&gt;0,"xy",""))</f>
        <v/>
      </c>
      <c r="W1359" s="43" t="str">
        <f t="shared" si="376"/>
        <v/>
      </c>
      <c r="X1359" s="43" t="str">
        <f t="shared" si="391"/>
        <v/>
      </c>
      <c r="Y1359" s="43" t="str">
        <f t="shared" si="388"/>
        <v/>
      </c>
    </row>
    <row r="1360" spans="1:25" hidden="1">
      <c r="A1360" s="155" t="s">
        <v>183</v>
      </c>
      <c r="B1360" s="156"/>
      <c r="C1360" s="411" t="s">
        <v>323</v>
      </c>
      <c r="D1360" s="351"/>
      <c r="E1360" s="405">
        <v>20</v>
      </c>
      <c r="F1360" s="406">
        <f>VLOOKUP(C1357,'ENSAIOS DE ORÇAMENTO'!$C$3:$L$79,6,FALSE)</f>
        <v>3.0880200000000002</v>
      </c>
      <c r="G1360" s="158">
        <f t="shared" si="402"/>
        <v>40.916265000000003</v>
      </c>
      <c r="H1360" s="465"/>
      <c r="I1360" s="465"/>
      <c r="J1360" s="407">
        <f t="shared" si="386"/>
        <v>0</v>
      </c>
      <c r="K1360" s="408"/>
      <c r="L1360" s="152">
        <v>0</v>
      </c>
      <c r="M1360" s="213"/>
      <c r="N1360" s="402">
        <f t="shared" si="395"/>
        <v>0</v>
      </c>
      <c r="O1360" s="402">
        <f t="shared" si="396"/>
        <v>0</v>
      </c>
      <c r="P1360" s="403"/>
      <c r="Q1360" s="464"/>
      <c r="R1360" s="464"/>
      <c r="S1360" s="402">
        <f t="shared" si="397"/>
        <v>0</v>
      </c>
      <c r="T1360" s="404">
        <f t="shared" si="393"/>
        <v>0</v>
      </c>
      <c r="U1360" s="403"/>
      <c r="V1360" s="160" t="str">
        <f>IF(T1357&gt;0,"xx",IF(O1357&gt;0,"xy",""))</f>
        <v/>
      </c>
      <c r="W1360" s="43" t="str">
        <f t="shared" si="376"/>
        <v/>
      </c>
      <c r="X1360" s="43" t="str">
        <f t="shared" si="391"/>
        <v/>
      </c>
      <c r="Y1360" s="43" t="str">
        <f t="shared" si="388"/>
        <v/>
      </c>
    </row>
    <row r="1361" spans="1:25" hidden="1">
      <c r="A1361" s="155" t="s">
        <v>183</v>
      </c>
      <c r="B1361" s="156"/>
      <c r="C1361" s="411" t="s">
        <v>511</v>
      </c>
      <c r="D1361" s="351"/>
      <c r="E1361" s="405">
        <v>30</v>
      </c>
      <c r="F1361" s="406">
        <f>VLOOKUP(C1357,'ENSAIOS DE ORÇAMENTO'!$C$3:$L$79,3,FALSE)</f>
        <v>0</v>
      </c>
      <c r="G1361" s="158">
        <f t="shared" si="402"/>
        <v>0</v>
      </c>
      <c r="H1361" s="465"/>
      <c r="I1361" s="465"/>
      <c r="J1361" s="407">
        <f t="shared" si="386"/>
        <v>0</v>
      </c>
      <c r="K1361" s="408"/>
      <c r="L1361" s="152">
        <v>0</v>
      </c>
      <c r="M1361" s="213"/>
      <c r="N1361" s="402">
        <f t="shared" si="395"/>
        <v>0</v>
      </c>
      <c r="O1361" s="402">
        <f t="shared" si="396"/>
        <v>0</v>
      </c>
      <c r="P1361" s="403"/>
      <c r="Q1361" s="464"/>
      <c r="R1361" s="464"/>
      <c r="S1361" s="402">
        <f t="shared" si="397"/>
        <v>0</v>
      </c>
      <c r="T1361" s="404">
        <f t="shared" si="393"/>
        <v>0</v>
      </c>
      <c r="U1361" s="403"/>
      <c r="V1361" s="160" t="str">
        <f>IF(T1357&gt;0,"xx",IF(O1357&gt;0,"xy",""))</f>
        <v/>
      </c>
      <c r="W1361" s="43" t="str">
        <f t="shared" si="376"/>
        <v/>
      </c>
      <c r="X1361" s="43" t="str">
        <f t="shared" si="391"/>
        <v/>
      </c>
      <c r="Y1361" s="43" t="str">
        <f t="shared" si="388"/>
        <v/>
      </c>
    </row>
    <row r="1362" spans="1:25" hidden="1">
      <c r="A1362" s="155" t="s">
        <v>183</v>
      </c>
      <c r="B1362" s="156"/>
      <c r="C1362" s="411" t="s">
        <v>512</v>
      </c>
      <c r="D1362" s="351"/>
      <c r="E1362" s="405">
        <v>500</v>
      </c>
      <c r="F1362" s="406">
        <f>VLOOKUP(C1357,'ENSAIOS DE ORÇAMENTO'!$C$3:$L$79,10,FALSE)</f>
        <v>0</v>
      </c>
      <c r="G1362" s="158">
        <f t="shared" ref="G1362" si="403">IF(E1362&lt;=30,(0.42*E1362+3.55)*F1362,((0.42*30+3.55)+0.35*(E1362-30))*F1362)</f>
        <v>0</v>
      </c>
      <c r="H1362" s="465"/>
      <c r="I1362" s="465"/>
      <c r="J1362" s="407">
        <f t="shared" si="386"/>
        <v>0</v>
      </c>
      <c r="K1362" s="408"/>
      <c r="L1362" s="152">
        <v>0</v>
      </c>
      <c r="M1362" s="213"/>
      <c r="N1362" s="402">
        <f t="shared" si="395"/>
        <v>0</v>
      </c>
      <c r="O1362" s="402">
        <f t="shared" si="396"/>
        <v>0</v>
      </c>
      <c r="P1362" s="403"/>
      <c r="Q1362" s="464"/>
      <c r="R1362" s="464"/>
      <c r="S1362" s="402">
        <f t="shared" si="397"/>
        <v>0</v>
      </c>
      <c r="T1362" s="404">
        <f t="shared" si="393"/>
        <v>0</v>
      </c>
      <c r="U1362" s="403"/>
      <c r="V1362" s="160" t="str">
        <f>IF(T1357&gt;0,"xx",IF(O1357&gt;0,"xy",""))</f>
        <v/>
      </c>
      <c r="W1362" s="43" t="str">
        <f t="shared" si="376"/>
        <v/>
      </c>
      <c r="X1362" s="43" t="str">
        <f t="shared" si="391"/>
        <v/>
      </c>
      <c r="Y1362" s="43" t="str">
        <f t="shared" si="388"/>
        <v/>
      </c>
    </row>
    <row r="1363" spans="1:25" hidden="1">
      <c r="A1363" s="155" t="s">
        <v>31</v>
      </c>
      <c r="B1363" s="156" t="s">
        <v>242</v>
      </c>
      <c r="C1363" s="411" t="s">
        <v>117</v>
      </c>
      <c r="D1363" s="351"/>
      <c r="E1363" s="405"/>
      <c r="F1363" s="406"/>
      <c r="G1363" s="158">
        <f>SUM(G1364:G1368)</f>
        <v>103.50606750000001</v>
      </c>
      <c r="H1363" s="465">
        <f>VLOOKUP(C1363,'ENSAIOS DE ORÇAMENTO'!$C$3:$L$79,8,FALSE)</f>
        <v>1137.22252</v>
      </c>
      <c r="I1363" s="465">
        <f>IF(ISBLANK(H1363),"",SUM(G1363:H1363))</f>
        <v>1240.7285875</v>
      </c>
      <c r="J1363" s="407">
        <f t="shared" si="386"/>
        <v>1573.24</v>
      </c>
      <c r="K1363" s="408" t="s">
        <v>23</v>
      </c>
      <c r="L1363" s="152">
        <v>0</v>
      </c>
      <c r="M1363" s="152"/>
      <c r="N1363" s="402">
        <f t="shared" si="395"/>
        <v>0</v>
      </c>
      <c r="O1363" s="402">
        <f t="shared" si="396"/>
        <v>0</v>
      </c>
      <c r="P1363" s="403"/>
      <c r="Q1363" s="152">
        <f t="shared" si="377"/>
        <v>0</v>
      </c>
      <c r="R1363" s="152">
        <f t="shared" si="377"/>
        <v>0</v>
      </c>
      <c r="S1363" s="402">
        <f t="shared" si="397"/>
        <v>0</v>
      </c>
      <c r="T1363" s="404">
        <f t="shared" si="393"/>
        <v>0</v>
      </c>
      <c r="U1363" s="403"/>
      <c r="W1363" s="43" t="str">
        <f t="shared" si="376"/>
        <v/>
      </c>
      <c r="X1363" s="43" t="str">
        <f t="shared" si="391"/>
        <v/>
      </c>
      <c r="Y1363" s="43" t="str">
        <f t="shared" si="388"/>
        <v/>
      </c>
    </row>
    <row r="1364" spans="1:25" hidden="1">
      <c r="A1364" s="155" t="s">
        <v>183</v>
      </c>
      <c r="B1364" s="156"/>
      <c r="C1364" s="411" t="s">
        <v>251</v>
      </c>
      <c r="D1364" s="351"/>
      <c r="E1364" s="405">
        <v>500</v>
      </c>
      <c r="F1364" s="406">
        <f>VLOOKUP(C1363,'ENSAIOS DE ORÇAMENTO'!$C$3:$L$79,4,FALSE)</f>
        <v>0.20590000000000003</v>
      </c>
      <c r="G1364" s="158">
        <f>IF(E1364&lt;=30,(0.42*E1364+3.55)*F1364,((0.42*30+3.55)+0.35*(E1364-30))*F1364)</f>
        <v>37.19583500000001</v>
      </c>
      <c r="H1364" s="465"/>
      <c r="I1364" s="465"/>
      <c r="J1364" s="407">
        <f t="shared" si="386"/>
        <v>0</v>
      </c>
      <c r="K1364" s="408"/>
      <c r="L1364" s="152">
        <v>0</v>
      </c>
      <c r="M1364" s="213"/>
      <c r="N1364" s="402">
        <f t="shared" si="395"/>
        <v>0</v>
      </c>
      <c r="O1364" s="402">
        <f t="shared" si="396"/>
        <v>0</v>
      </c>
      <c r="P1364" s="403"/>
      <c r="Q1364" s="464"/>
      <c r="R1364" s="464"/>
      <c r="S1364" s="402">
        <f t="shared" si="397"/>
        <v>0</v>
      </c>
      <c r="T1364" s="404">
        <f t="shared" si="393"/>
        <v>0</v>
      </c>
      <c r="U1364" s="403"/>
      <c r="V1364" s="160" t="str">
        <f>IF(T1363&gt;0,"xx",IF(O1363&gt;0,"xy",""))</f>
        <v/>
      </c>
      <c r="W1364" s="43" t="str">
        <f t="shared" si="376"/>
        <v/>
      </c>
      <c r="X1364" s="43" t="str">
        <f t="shared" si="391"/>
        <v/>
      </c>
      <c r="Y1364" s="43" t="str">
        <f t="shared" si="388"/>
        <v/>
      </c>
    </row>
    <row r="1365" spans="1:25" hidden="1">
      <c r="A1365" s="155" t="s">
        <v>183</v>
      </c>
      <c r="B1365" s="156"/>
      <c r="C1365" s="411" t="s">
        <v>314</v>
      </c>
      <c r="D1365" s="351"/>
      <c r="E1365" s="405">
        <v>180</v>
      </c>
      <c r="F1365" s="406">
        <f>VLOOKUP(C1363,'ENSAIOS DE ORÇAMENTO'!$C$3:$L$79,5,FALSE)</f>
        <v>0.60275000000000001</v>
      </c>
      <c r="G1365" s="158">
        <f t="shared" ref="G1365:G1367" si="404">IF(E1365&lt;=30,(0.6*E1365+1.25)*F1365,((0.6*30+1.25)+0.5*(E1365-30))*F1365)</f>
        <v>56.8091875</v>
      </c>
      <c r="H1365" s="465"/>
      <c r="I1365" s="465"/>
      <c r="J1365" s="407">
        <f t="shared" si="386"/>
        <v>0</v>
      </c>
      <c r="K1365" s="408"/>
      <c r="L1365" s="152">
        <v>0</v>
      </c>
      <c r="M1365" s="213"/>
      <c r="N1365" s="402">
        <f t="shared" si="395"/>
        <v>0</v>
      </c>
      <c r="O1365" s="402">
        <f t="shared" si="396"/>
        <v>0</v>
      </c>
      <c r="P1365" s="403"/>
      <c r="Q1365" s="464"/>
      <c r="R1365" s="464"/>
      <c r="S1365" s="402">
        <f t="shared" si="397"/>
        <v>0</v>
      </c>
      <c r="T1365" s="404">
        <f t="shared" si="393"/>
        <v>0</v>
      </c>
      <c r="U1365" s="403"/>
      <c r="V1365" s="160" t="str">
        <f>IF(T1363&gt;0,"xx",IF(O1363&gt;0,"xy",""))</f>
        <v/>
      </c>
      <c r="W1365" s="43" t="str">
        <f t="shared" si="376"/>
        <v/>
      </c>
      <c r="X1365" s="43" t="str">
        <f t="shared" si="391"/>
        <v/>
      </c>
      <c r="Y1365" s="43" t="str">
        <f t="shared" si="388"/>
        <v/>
      </c>
    </row>
    <row r="1366" spans="1:25" hidden="1">
      <c r="A1366" s="155" t="s">
        <v>183</v>
      </c>
      <c r="B1366" s="156"/>
      <c r="C1366" s="411" t="s">
        <v>323</v>
      </c>
      <c r="D1366" s="351"/>
      <c r="E1366" s="405">
        <v>20</v>
      </c>
      <c r="F1366" s="406">
        <f>VLOOKUP(C1363,'ENSAIOS DE ORÇAMENTO'!$C$3:$L$79,6,FALSE)</f>
        <v>0.71706000000000003</v>
      </c>
      <c r="G1366" s="158">
        <f t="shared" si="404"/>
        <v>9.5010450000000013</v>
      </c>
      <c r="H1366" s="465"/>
      <c r="I1366" s="465"/>
      <c r="J1366" s="407">
        <f t="shared" si="386"/>
        <v>0</v>
      </c>
      <c r="K1366" s="408"/>
      <c r="L1366" s="152">
        <v>0</v>
      </c>
      <c r="M1366" s="213"/>
      <c r="N1366" s="402">
        <f t="shared" si="395"/>
        <v>0</v>
      </c>
      <c r="O1366" s="402">
        <f t="shared" si="396"/>
        <v>0</v>
      </c>
      <c r="P1366" s="403"/>
      <c r="Q1366" s="464"/>
      <c r="R1366" s="464"/>
      <c r="S1366" s="402">
        <f t="shared" si="397"/>
        <v>0</v>
      </c>
      <c r="T1366" s="404">
        <f t="shared" si="393"/>
        <v>0</v>
      </c>
      <c r="U1366" s="403"/>
      <c r="V1366" s="160" t="str">
        <f>IF(T1363&gt;0,"xx",IF(O1363&gt;0,"xy",""))</f>
        <v/>
      </c>
      <c r="W1366" s="43" t="str">
        <f t="shared" si="376"/>
        <v/>
      </c>
      <c r="X1366" s="43" t="str">
        <f t="shared" si="391"/>
        <v/>
      </c>
      <c r="Y1366" s="43" t="str">
        <f t="shared" si="388"/>
        <v/>
      </c>
    </row>
    <row r="1367" spans="1:25" hidden="1">
      <c r="A1367" s="155" t="s">
        <v>183</v>
      </c>
      <c r="B1367" s="156"/>
      <c r="C1367" s="411" t="s">
        <v>511</v>
      </c>
      <c r="D1367" s="351"/>
      <c r="E1367" s="405">
        <v>30</v>
      </c>
      <c r="F1367" s="406">
        <f>VLOOKUP(C1363,'ENSAIOS DE ORÇAMENTO'!$C$3:$L$79,3,FALSE)</f>
        <v>0</v>
      </c>
      <c r="G1367" s="158">
        <f t="shared" si="404"/>
        <v>0</v>
      </c>
      <c r="H1367" s="465"/>
      <c r="I1367" s="465"/>
      <c r="J1367" s="407">
        <f t="shared" si="386"/>
        <v>0</v>
      </c>
      <c r="K1367" s="408"/>
      <c r="L1367" s="152">
        <v>0</v>
      </c>
      <c r="M1367" s="213"/>
      <c r="N1367" s="402">
        <f t="shared" si="395"/>
        <v>0</v>
      </c>
      <c r="O1367" s="402">
        <f t="shared" si="396"/>
        <v>0</v>
      </c>
      <c r="P1367" s="403"/>
      <c r="Q1367" s="464"/>
      <c r="R1367" s="464"/>
      <c r="S1367" s="402">
        <f t="shared" si="397"/>
        <v>0</v>
      </c>
      <c r="T1367" s="404">
        <f t="shared" si="393"/>
        <v>0</v>
      </c>
      <c r="U1367" s="403"/>
      <c r="V1367" s="160" t="str">
        <f>IF(T1363&gt;0,"xx",IF(O1363&gt;0,"xy",""))</f>
        <v/>
      </c>
      <c r="W1367" s="43" t="str">
        <f t="shared" si="376"/>
        <v/>
      </c>
      <c r="X1367" s="43" t="str">
        <f t="shared" si="391"/>
        <v/>
      </c>
      <c r="Y1367" s="43" t="str">
        <f t="shared" si="388"/>
        <v/>
      </c>
    </row>
    <row r="1368" spans="1:25" hidden="1">
      <c r="A1368" s="155" t="s">
        <v>183</v>
      </c>
      <c r="B1368" s="156"/>
      <c r="C1368" s="411" t="s">
        <v>512</v>
      </c>
      <c r="D1368" s="351"/>
      <c r="E1368" s="405">
        <v>500</v>
      </c>
      <c r="F1368" s="406">
        <f>VLOOKUP(C1363,'ENSAIOS DE ORÇAMENTO'!$C$3:$L$79,10,FALSE)</f>
        <v>0</v>
      </c>
      <c r="G1368" s="158">
        <f t="shared" ref="G1368" si="405">IF(E1368&lt;=30,(0.42*E1368+3.55)*F1368,((0.42*30+3.55)+0.35*(E1368-30))*F1368)</f>
        <v>0</v>
      </c>
      <c r="H1368" s="465"/>
      <c r="I1368" s="465"/>
      <c r="J1368" s="407">
        <f t="shared" si="386"/>
        <v>0</v>
      </c>
      <c r="K1368" s="408"/>
      <c r="L1368" s="152">
        <v>0</v>
      </c>
      <c r="M1368" s="213"/>
      <c r="N1368" s="402">
        <f t="shared" si="395"/>
        <v>0</v>
      </c>
      <c r="O1368" s="402">
        <f t="shared" si="396"/>
        <v>0</v>
      </c>
      <c r="P1368" s="403"/>
      <c r="Q1368" s="464"/>
      <c r="R1368" s="464"/>
      <c r="S1368" s="402">
        <f t="shared" si="397"/>
        <v>0</v>
      </c>
      <c r="T1368" s="404">
        <f t="shared" si="393"/>
        <v>0</v>
      </c>
      <c r="U1368" s="403"/>
      <c r="V1368" s="160" t="str">
        <f>IF(T1363&gt;0,"xx",IF(O1363&gt;0,"xy",""))</f>
        <v/>
      </c>
      <c r="W1368" s="43" t="str">
        <f t="shared" si="376"/>
        <v/>
      </c>
      <c r="X1368" s="43" t="str">
        <f t="shared" si="391"/>
        <v/>
      </c>
      <c r="Y1368" s="43" t="str">
        <f t="shared" si="388"/>
        <v/>
      </c>
    </row>
    <row r="1369" spans="1:25" hidden="1">
      <c r="A1369" s="155" t="s">
        <v>32</v>
      </c>
      <c r="B1369" s="156" t="s">
        <v>242</v>
      </c>
      <c r="C1369" s="411" t="s">
        <v>114</v>
      </c>
      <c r="D1369" s="351"/>
      <c r="E1369" s="405"/>
      <c r="F1369" s="406"/>
      <c r="G1369" s="158">
        <f>SUM(G1370:G1374)</f>
        <v>129.28626750000001</v>
      </c>
      <c r="H1369" s="465">
        <f>VLOOKUP(C1369,'ENSAIOS DE ORÇAMENTO'!$C$3:$L$79,8,FALSE)</f>
        <v>1381.4529199999999</v>
      </c>
      <c r="I1369" s="465">
        <f>IF(ISBLANK(H1369),"",SUM(G1369:H1369))</f>
        <v>1510.7391874999998</v>
      </c>
      <c r="J1369" s="407">
        <f t="shared" si="386"/>
        <v>1915.62</v>
      </c>
      <c r="K1369" s="408" t="s">
        <v>23</v>
      </c>
      <c r="L1369" s="152">
        <v>0</v>
      </c>
      <c r="M1369" s="152"/>
      <c r="N1369" s="402">
        <f t="shared" si="395"/>
        <v>0</v>
      </c>
      <c r="O1369" s="402">
        <f t="shared" si="396"/>
        <v>0</v>
      </c>
      <c r="P1369" s="403"/>
      <c r="Q1369" s="152">
        <f t="shared" ref="Q1369:R1429" si="406">L1369</f>
        <v>0</v>
      </c>
      <c r="R1369" s="152">
        <f t="shared" si="406"/>
        <v>0</v>
      </c>
      <c r="S1369" s="402">
        <f t="shared" si="397"/>
        <v>0</v>
      </c>
      <c r="T1369" s="404">
        <f t="shared" si="393"/>
        <v>0</v>
      </c>
      <c r="U1369" s="403"/>
      <c r="W1369" s="43" t="str">
        <f t="shared" si="376"/>
        <v/>
      </c>
      <c r="X1369" s="43" t="str">
        <f t="shared" si="391"/>
        <v/>
      </c>
      <c r="Y1369" s="43" t="str">
        <f t="shared" si="388"/>
        <v/>
      </c>
    </row>
    <row r="1370" spans="1:25" hidden="1">
      <c r="A1370" s="155" t="s">
        <v>183</v>
      </c>
      <c r="B1370" s="156"/>
      <c r="C1370" s="411" t="s">
        <v>251</v>
      </c>
      <c r="D1370" s="351"/>
      <c r="E1370" s="405">
        <v>500</v>
      </c>
      <c r="F1370" s="406">
        <f>VLOOKUP(C1369,'ENSAIOS DE ORÇAMENTO'!$C$3:$L$79,4,FALSE)</f>
        <v>0.25869999999999999</v>
      </c>
      <c r="G1370" s="158">
        <f>IF(E1370&lt;=30,(0.42*E1370+3.55)*F1370,((0.42*30+3.55)+0.35*(E1370-30))*F1370)</f>
        <v>46.734155000000001</v>
      </c>
      <c r="H1370" s="465"/>
      <c r="I1370" s="465"/>
      <c r="J1370" s="407">
        <f t="shared" si="386"/>
        <v>0</v>
      </c>
      <c r="K1370" s="408"/>
      <c r="L1370" s="152">
        <v>0</v>
      </c>
      <c r="M1370" s="213"/>
      <c r="N1370" s="402">
        <f t="shared" si="395"/>
        <v>0</v>
      </c>
      <c r="O1370" s="402">
        <f t="shared" si="396"/>
        <v>0</v>
      </c>
      <c r="P1370" s="403"/>
      <c r="Q1370" s="464"/>
      <c r="R1370" s="464"/>
      <c r="S1370" s="402">
        <f t="shared" si="397"/>
        <v>0</v>
      </c>
      <c r="T1370" s="404">
        <f t="shared" si="393"/>
        <v>0</v>
      </c>
      <c r="U1370" s="403"/>
      <c r="V1370" s="160" t="str">
        <f>IF(T1369&gt;0,"xx",IF(O1369&gt;0,"xy",""))</f>
        <v/>
      </c>
      <c r="W1370" s="43" t="str">
        <f t="shared" si="376"/>
        <v/>
      </c>
      <c r="X1370" s="43" t="str">
        <f t="shared" si="391"/>
        <v/>
      </c>
      <c r="Y1370" s="43" t="str">
        <f t="shared" si="388"/>
        <v/>
      </c>
    </row>
    <row r="1371" spans="1:25" hidden="1">
      <c r="A1371" s="155" t="s">
        <v>183</v>
      </c>
      <c r="B1371" s="156"/>
      <c r="C1371" s="411" t="s">
        <v>314</v>
      </c>
      <c r="D1371" s="351"/>
      <c r="E1371" s="405">
        <v>180</v>
      </c>
      <c r="F1371" s="406">
        <f>VLOOKUP(C1369,'ENSAIOS DE ORÇAMENTO'!$C$3:$L$79,5,FALSE)</f>
        <v>0.75010999999999994</v>
      </c>
      <c r="G1371" s="158">
        <f t="shared" ref="G1371:G1373" si="407">IF(E1371&lt;=30,(0.6*E1371+1.25)*F1371,((0.6*30+1.25)+0.5*(E1371-30))*F1371)</f>
        <v>70.697867500000001</v>
      </c>
      <c r="H1371" s="465"/>
      <c r="I1371" s="465"/>
      <c r="J1371" s="407">
        <f t="shared" si="386"/>
        <v>0</v>
      </c>
      <c r="K1371" s="408"/>
      <c r="L1371" s="152">
        <v>0</v>
      </c>
      <c r="M1371" s="213"/>
      <c r="N1371" s="402">
        <f t="shared" si="395"/>
        <v>0</v>
      </c>
      <c r="O1371" s="402">
        <f t="shared" si="396"/>
        <v>0</v>
      </c>
      <c r="P1371" s="403"/>
      <c r="Q1371" s="464"/>
      <c r="R1371" s="464"/>
      <c r="S1371" s="402">
        <f t="shared" si="397"/>
        <v>0</v>
      </c>
      <c r="T1371" s="404">
        <f t="shared" si="393"/>
        <v>0</v>
      </c>
      <c r="U1371" s="403"/>
      <c r="V1371" s="160" t="str">
        <f>IF(T1369&gt;0,"xx",IF(O1369&gt;0,"xy",""))</f>
        <v/>
      </c>
      <c r="W1371" s="43" t="str">
        <f t="shared" si="376"/>
        <v/>
      </c>
      <c r="X1371" s="43" t="str">
        <f t="shared" si="391"/>
        <v/>
      </c>
      <c r="Y1371" s="43" t="str">
        <f t="shared" si="388"/>
        <v/>
      </c>
    </row>
    <row r="1372" spans="1:25" hidden="1">
      <c r="A1372" s="155" t="s">
        <v>183</v>
      </c>
      <c r="B1372" s="156"/>
      <c r="C1372" s="411" t="s">
        <v>323</v>
      </c>
      <c r="D1372" s="351"/>
      <c r="E1372" s="405">
        <v>20</v>
      </c>
      <c r="F1372" s="406">
        <f>VLOOKUP(C1369,'ENSAIOS DE ORÇAMENTO'!$C$3:$L$79,6,FALSE)</f>
        <v>0.89466000000000001</v>
      </c>
      <c r="G1372" s="158">
        <f t="shared" si="407"/>
        <v>11.854245000000001</v>
      </c>
      <c r="H1372" s="465"/>
      <c r="I1372" s="465"/>
      <c r="J1372" s="407">
        <f t="shared" si="386"/>
        <v>0</v>
      </c>
      <c r="K1372" s="408"/>
      <c r="L1372" s="152">
        <v>0</v>
      </c>
      <c r="M1372" s="213"/>
      <c r="N1372" s="402">
        <f t="shared" si="395"/>
        <v>0</v>
      </c>
      <c r="O1372" s="402">
        <f t="shared" si="396"/>
        <v>0</v>
      </c>
      <c r="P1372" s="403"/>
      <c r="Q1372" s="464"/>
      <c r="R1372" s="464"/>
      <c r="S1372" s="402">
        <f t="shared" si="397"/>
        <v>0</v>
      </c>
      <c r="T1372" s="404">
        <f t="shared" si="393"/>
        <v>0</v>
      </c>
      <c r="U1372" s="403"/>
      <c r="V1372" s="160" t="str">
        <f>IF(T1369&gt;0,"xx",IF(O1369&gt;0,"xy",""))</f>
        <v/>
      </c>
      <c r="W1372" s="43" t="str">
        <f t="shared" si="376"/>
        <v/>
      </c>
      <c r="X1372" s="43" t="str">
        <f t="shared" si="391"/>
        <v/>
      </c>
      <c r="Y1372" s="43" t="str">
        <f t="shared" si="388"/>
        <v/>
      </c>
    </row>
    <row r="1373" spans="1:25" hidden="1">
      <c r="A1373" s="155" t="s">
        <v>183</v>
      </c>
      <c r="B1373" s="156"/>
      <c r="C1373" s="411" t="s">
        <v>511</v>
      </c>
      <c r="D1373" s="351"/>
      <c r="E1373" s="405">
        <v>30</v>
      </c>
      <c r="F1373" s="406">
        <f>VLOOKUP(C1369,'ENSAIOS DE ORÇAMENTO'!$C$3:$L$79,3,FALSE)</f>
        <v>0</v>
      </c>
      <c r="G1373" s="158">
        <f t="shared" si="407"/>
        <v>0</v>
      </c>
      <c r="H1373" s="465"/>
      <c r="I1373" s="465"/>
      <c r="J1373" s="407">
        <f t="shared" si="386"/>
        <v>0</v>
      </c>
      <c r="K1373" s="408"/>
      <c r="L1373" s="152">
        <v>0</v>
      </c>
      <c r="M1373" s="213"/>
      <c r="N1373" s="402">
        <f t="shared" si="395"/>
        <v>0</v>
      </c>
      <c r="O1373" s="402">
        <f t="shared" si="396"/>
        <v>0</v>
      </c>
      <c r="P1373" s="403"/>
      <c r="Q1373" s="464"/>
      <c r="R1373" s="464"/>
      <c r="S1373" s="402">
        <f t="shared" si="397"/>
        <v>0</v>
      </c>
      <c r="T1373" s="404">
        <f t="shared" si="393"/>
        <v>0</v>
      </c>
      <c r="U1373" s="403"/>
      <c r="V1373" s="160" t="str">
        <f>IF(T1369&gt;0,"xx",IF(O1369&gt;0,"xy",""))</f>
        <v/>
      </c>
      <c r="W1373" s="43" t="str">
        <f t="shared" si="376"/>
        <v/>
      </c>
      <c r="X1373" s="43" t="str">
        <f t="shared" si="391"/>
        <v/>
      </c>
      <c r="Y1373" s="43" t="str">
        <f t="shared" si="388"/>
        <v/>
      </c>
    </row>
    <row r="1374" spans="1:25" hidden="1">
      <c r="A1374" s="155" t="s">
        <v>183</v>
      </c>
      <c r="B1374" s="156"/>
      <c r="C1374" s="411" t="s">
        <v>512</v>
      </c>
      <c r="D1374" s="351"/>
      <c r="E1374" s="405">
        <v>500</v>
      </c>
      <c r="F1374" s="406">
        <f>VLOOKUP(C1369,'ENSAIOS DE ORÇAMENTO'!$C$3:$L$79,10,FALSE)</f>
        <v>0</v>
      </c>
      <c r="G1374" s="158">
        <f t="shared" ref="G1374" si="408">IF(E1374&lt;=30,(0.42*E1374+3.55)*F1374,((0.42*30+3.55)+0.35*(E1374-30))*F1374)</f>
        <v>0</v>
      </c>
      <c r="H1374" s="465"/>
      <c r="I1374" s="465"/>
      <c r="J1374" s="407">
        <f t="shared" si="386"/>
        <v>0</v>
      </c>
      <c r="K1374" s="408"/>
      <c r="L1374" s="152">
        <v>0</v>
      </c>
      <c r="M1374" s="213"/>
      <c r="N1374" s="402">
        <f t="shared" si="395"/>
        <v>0</v>
      </c>
      <c r="O1374" s="402">
        <f t="shared" si="396"/>
        <v>0</v>
      </c>
      <c r="P1374" s="403"/>
      <c r="Q1374" s="464"/>
      <c r="R1374" s="464"/>
      <c r="S1374" s="402">
        <f t="shared" si="397"/>
        <v>0</v>
      </c>
      <c r="T1374" s="404">
        <f t="shared" si="393"/>
        <v>0</v>
      </c>
      <c r="U1374" s="403"/>
      <c r="V1374" s="160" t="str">
        <f>IF(T1369&gt;0,"xx",IF(O1369&gt;0,"xy",""))</f>
        <v/>
      </c>
      <c r="W1374" s="43" t="str">
        <f t="shared" si="376"/>
        <v/>
      </c>
      <c r="X1374" s="43" t="str">
        <f t="shared" si="391"/>
        <v/>
      </c>
      <c r="Y1374" s="43" t="str">
        <f t="shared" si="388"/>
        <v/>
      </c>
    </row>
    <row r="1375" spans="1:25" hidden="1">
      <c r="A1375" s="155" t="s">
        <v>33</v>
      </c>
      <c r="B1375" s="156" t="s">
        <v>242</v>
      </c>
      <c r="C1375" s="411" t="s">
        <v>115</v>
      </c>
      <c r="D1375" s="351"/>
      <c r="E1375" s="405"/>
      <c r="F1375" s="406"/>
      <c r="G1375" s="158">
        <f>SUM(G1376:G1380)</f>
        <v>171.17909250000002</v>
      </c>
      <c r="H1375" s="465">
        <f>VLOOKUP(C1375,'ENSAIOS DE ORÇAMENTO'!$C$3:$L$79,8,FALSE)</f>
        <v>1550.7613200000001</v>
      </c>
      <c r="I1375" s="465">
        <f>IF(ISBLANK(H1375),"",SUM(G1375:H1375))</f>
        <v>1721.9404125000001</v>
      </c>
      <c r="J1375" s="407">
        <f t="shared" si="386"/>
        <v>2183.42</v>
      </c>
      <c r="K1375" s="408" t="s">
        <v>23</v>
      </c>
      <c r="L1375" s="152">
        <v>0</v>
      </c>
      <c r="M1375" s="152"/>
      <c r="N1375" s="402">
        <f t="shared" si="395"/>
        <v>0</v>
      </c>
      <c r="O1375" s="402">
        <f t="shared" si="396"/>
        <v>0</v>
      </c>
      <c r="P1375" s="403"/>
      <c r="Q1375" s="152">
        <f t="shared" si="406"/>
        <v>0</v>
      </c>
      <c r="R1375" s="152">
        <f t="shared" si="406"/>
        <v>0</v>
      </c>
      <c r="S1375" s="402">
        <f t="shared" si="397"/>
        <v>0</v>
      </c>
      <c r="T1375" s="404">
        <f t="shared" si="393"/>
        <v>0</v>
      </c>
      <c r="U1375" s="403"/>
      <c r="W1375" s="43" t="str">
        <f t="shared" si="376"/>
        <v/>
      </c>
      <c r="X1375" s="43" t="str">
        <f t="shared" si="391"/>
        <v/>
      </c>
      <c r="Y1375" s="43" t="str">
        <f t="shared" si="388"/>
        <v/>
      </c>
    </row>
    <row r="1376" spans="1:25" hidden="1">
      <c r="A1376" s="155" t="s">
        <v>183</v>
      </c>
      <c r="B1376" s="156"/>
      <c r="C1376" s="411" t="s">
        <v>251</v>
      </c>
      <c r="D1376" s="351"/>
      <c r="E1376" s="405">
        <v>500</v>
      </c>
      <c r="F1376" s="406">
        <f>VLOOKUP(C1375,'ENSAIOS DE ORÇAMENTO'!$C$3:$L$79,4,FALSE)</f>
        <v>0.34450000000000003</v>
      </c>
      <c r="G1376" s="158">
        <f>IF(E1376&lt;=30,(0.42*E1376+3.55)*F1376,((0.42*30+3.55)+0.35*(E1376-30))*F1376)</f>
        <v>62.233925000000006</v>
      </c>
      <c r="H1376" s="465"/>
      <c r="I1376" s="465"/>
      <c r="J1376" s="407">
        <f t="shared" si="386"/>
        <v>0</v>
      </c>
      <c r="K1376" s="408"/>
      <c r="L1376" s="152">
        <v>0</v>
      </c>
      <c r="M1376" s="213"/>
      <c r="N1376" s="402">
        <f t="shared" si="395"/>
        <v>0</v>
      </c>
      <c r="O1376" s="402">
        <f t="shared" si="396"/>
        <v>0</v>
      </c>
      <c r="P1376" s="403"/>
      <c r="Q1376" s="464"/>
      <c r="R1376" s="464"/>
      <c r="S1376" s="402">
        <f t="shared" si="397"/>
        <v>0</v>
      </c>
      <c r="T1376" s="404">
        <f t="shared" si="393"/>
        <v>0</v>
      </c>
      <c r="U1376" s="403"/>
      <c r="V1376" s="160" t="str">
        <f>IF(T1375&gt;0,"xx",IF(O1375&gt;0,"xy",""))</f>
        <v/>
      </c>
      <c r="W1376" s="43" t="str">
        <f t="shared" si="376"/>
        <v/>
      </c>
      <c r="X1376" s="43" t="str">
        <f t="shared" si="391"/>
        <v/>
      </c>
      <c r="Y1376" s="43" t="str">
        <f t="shared" si="388"/>
        <v/>
      </c>
    </row>
    <row r="1377" spans="1:25" hidden="1">
      <c r="A1377" s="155" t="s">
        <v>183</v>
      </c>
      <c r="B1377" s="156"/>
      <c r="C1377" s="411" t="s">
        <v>314</v>
      </c>
      <c r="D1377" s="351"/>
      <c r="E1377" s="405">
        <v>180</v>
      </c>
      <c r="F1377" s="406">
        <f>VLOOKUP(C1375,'ENSAIOS DE ORÇAMENTO'!$C$3:$L$79,5,FALSE)</f>
        <v>0.98957000000000006</v>
      </c>
      <c r="G1377" s="158">
        <f t="shared" ref="G1377:G1379" si="409">IF(E1377&lt;=30,(0.6*E1377+1.25)*F1377,((0.6*30+1.25)+0.5*(E1377-30))*F1377)</f>
        <v>93.266972500000008</v>
      </c>
      <c r="H1377" s="465"/>
      <c r="I1377" s="465"/>
      <c r="J1377" s="407">
        <f t="shared" si="386"/>
        <v>0</v>
      </c>
      <c r="K1377" s="408"/>
      <c r="L1377" s="152">
        <v>0</v>
      </c>
      <c r="M1377" s="213"/>
      <c r="N1377" s="402">
        <f t="shared" si="395"/>
        <v>0</v>
      </c>
      <c r="O1377" s="402">
        <f t="shared" si="396"/>
        <v>0</v>
      </c>
      <c r="P1377" s="403"/>
      <c r="Q1377" s="464"/>
      <c r="R1377" s="464"/>
      <c r="S1377" s="402">
        <f t="shared" si="397"/>
        <v>0</v>
      </c>
      <c r="T1377" s="404">
        <f t="shared" si="393"/>
        <v>0</v>
      </c>
      <c r="U1377" s="403"/>
      <c r="V1377" s="160" t="str">
        <f>IF(T1375&gt;0,"xx",IF(O1375&gt;0,"xy",""))</f>
        <v/>
      </c>
      <c r="W1377" s="43" t="str">
        <f t="shared" si="376"/>
        <v/>
      </c>
      <c r="X1377" s="43" t="str">
        <f t="shared" si="391"/>
        <v/>
      </c>
      <c r="Y1377" s="43" t="str">
        <f t="shared" si="388"/>
        <v/>
      </c>
    </row>
    <row r="1378" spans="1:25" hidden="1">
      <c r="A1378" s="155" t="s">
        <v>183</v>
      </c>
      <c r="B1378" s="156"/>
      <c r="C1378" s="411" t="s">
        <v>323</v>
      </c>
      <c r="D1378" s="351"/>
      <c r="E1378" s="405">
        <v>20</v>
      </c>
      <c r="F1378" s="406">
        <f>VLOOKUP(C1375,'ENSAIOS DE ORÇAMENTO'!$C$3:$L$79,6,FALSE)</f>
        <v>1.1832600000000002</v>
      </c>
      <c r="G1378" s="158">
        <f t="shared" si="409"/>
        <v>15.678195000000002</v>
      </c>
      <c r="H1378" s="465"/>
      <c r="I1378" s="465"/>
      <c r="J1378" s="407">
        <f t="shared" si="386"/>
        <v>0</v>
      </c>
      <c r="K1378" s="408"/>
      <c r="L1378" s="152">
        <v>0</v>
      </c>
      <c r="M1378" s="213"/>
      <c r="N1378" s="402">
        <f t="shared" si="395"/>
        <v>0</v>
      </c>
      <c r="O1378" s="402">
        <f t="shared" si="396"/>
        <v>0</v>
      </c>
      <c r="P1378" s="403"/>
      <c r="Q1378" s="464"/>
      <c r="R1378" s="464"/>
      <c r="S1378" s="402">
        <f t="shared" si="397"/>
        <v>0</v>
      </c>
      <c r="T1378" s="404">
        <f t="shared" si="393"/>
        <v>0</v>
      </c>
      <c r="U1378" s="403"/>
      <c r="V1378" s="160" t="str">
        <f>IF(T1375&gt;0,"xx",IF(O1375&gt;0,"xy",""))</f>
        <v/>
      </c>
      <c r="W1378" s="43" t="str">
        <f t="shared" si="376"/>
        <v/>
      </c>
      <c r="X1378" s="43" t="str">
        <f t="shared" si="391"/>
        <v/>
      </c>
      <c r="Y1378" s="43" t="str">
        <f t="shared" si="388"/>
        <v/>
      </c>
    </row>
    <row r="1379" spans="1:25" hidden="1">
      <c r="A1379" s="155" t="s">
        <v>183</v>
      </c>
      <c r="B1379" s="156"/>
      <c r="C1379" s="411" t="s">
        <v>511</v>
      </c>
      <c r="D1379" s="351"/>
      <c r="E1379" s="405">
        <v>30</v>
      </c>
      <c r="F1379" s="406">
        <f>VLOOKUP(C1375,'ENSAIOS DE ORÇAMENTO'!$C$3:$L$79,3,FALSE)</f>
        <v>0</v>
      </c>
      <c r="G1379" s="158">
        <f t="shared" si="409"/>
        <v>0</v>
      </c>
      <c r="H1379" s="465"/>
      <c r="I1379" s="465"/>
      <c r="J1379" s="407">
        <f t="shared" si="386"/>
        <v>0</v>
      </c>
      <c r="K1379" s="408"/>
      <c r="L1379" s="152">
        <v>0</v>
      </c>
      <c r="M1379" s="213"/>
      <c r="N1379" s="402">
        <f t="shared" si="395"/>
        <v>0</v>
      </c>
      <c r="O1379" s="402">
        <f t="shared" si="396"/>
        <v>0</v>
      </c>
      <c r="P1379" s="403"/>
      <c r="Q1379" s="464"/>
      <c r="R1379" s="464"/>
      <c r="S1379" s="402">
        <f t="shared" si="397"/>
        <v>0</v>
      </c>
      <c r="T1379" s="404">
        <f t="shared" si="393"/>
        <v>0</v>
      </c>
      <c r="U1379" s="403"/>
      <c r="V1379" s="160" t="str">
        <f>IF(T1375&gt;0,"xx",IF(O1375&gt;0,"xy",""))</f>
        <v/>
      </c>
      <c r="W1379" s="43" t="str">
        <f t="shared" si="376"/>
        <v/>
      </c>
      <c r="X1379" s="43" t="str">
        <f t="shared" si="391"/>
        <v/>
      </c>
      <c r="Y1379" s="43" t="str">
        <f t="shared" si="388"/>
        <v/>
      </c>
    </row>
    <row r="1380" spans="1:25" hidden="1">
      <c r="A1380" s="155" t="s">
        <v>183</v>
      </c>
      <c r="B1380" s="156"/>
      <c r="C1380" s="411" t="s">
        <v>512</v>
      </c>
      <c r="D1380" s="351"/>
      <c r="E1380" s="405">
        <v>500</v>
      </c>
      <c r="F1380" s="406">
        <f>VLOOKUP(C1375,'ENSAIOS DE ORÇAMENTO'!$C$3:$L$79,10,FALSE)</f>
        <v>0</v>
      </c>
      <c r="G1380" s="158">
        <f t="shared" ref="G1380" si="410">IF(E1380&lt;=30,(0.42*E1380+3.55)*F1380,((0.42*30+3.55)+0.35*(E1380-30))*F1380)</f>
        <v>0</v>
      </c>
      <c r="H1380" s="465"/>
      <c r="I1380" s="465"/>
      <c r="J1380" s="407">
        <f t="shared" si="386"/>
        <v>0</v>
      </c>
      <c r="K1380" s="408"/>
      <c r="L1380" s="152">
        <v>0</v>
      </c>
      <c r="M1380" s="213"/>
      <c r="N1380" s="402">
        <f t="shared" si="395"/>
        <v>0</v>
      </c>
      <c r="O1380" s="402">
        <f t="shared" si="396"/>
        <v>0</v>
      </c>
      <c r="P1380" s="403"/>
      <c r="Q1380" s="464"/>
      <c r="R1380" s="464"/>
      <c r="S1380" s="402">
        <f t="shared" si="397"/>
        <v>0</v>
      </c>
      <c r="T1380" s="404">
        <f t="shared" si="393"/>
        <v>0</v>
      </c>
      <c r="U1380" s="403"/>
      <c r="V1380" s="160" t="str">
        <f>IF(T1375&gt;0,"xx",IF(O1375&gt;0,"xy",""))</f>
        <v/>
      </c>
      <c r="W1380" s="43" t="str">
        <f t="shared" si="376"/>
        <v/>
      </c>
      <c r="X1380" s="43" t="str">
        <f t="shared" si="391"/>
        <v/>
      </c>
      <c r="Y1380" s="43" t="str">
        <f t="shared" si="388"/>
        <v/>
      </c>
    </row>
    <row r="1381" spans="1:25" hidden="1">
      <c r="A1381" s="155" t="s">
        <v>34</v>
      </c>
      <c r="B1381" s="156" t="s">
        <v>242</v>
      </c>
      <c r="C1381" s="411" t="s">
        <v>116</v>
      </c>
      <c r="D1381" s="351"/>
      <c r="E1381" s="405"/>
      <c r="F1381" s="406"/>
      <c r="G1381" s="158">
        <f>SUM(G1382:G1386)</f>
        <v>213.07191750000001</v>
      </c>
      <c r="H1381" s="465">
        <f>VLOOKUP(C1381,'ENSAIOS DE ORÇAMENTO'!$C$3:$L$79,8,FALSE)</f>
        <v>1894.8947200000002</v>
      </c>
      <c r="I1381" s="465">
        <f>IF(ISBLANK(H1381),"",SUM(G1381:H1381))</f>
        <v>2107.9666375000002</v>
      </c>
      <c r="J1381" s="407">
        <f t="shared" si="386"/>
        <v>2672.9</v>
      </c>
      <c r="K1381" s="408" t="s">
        <v>23</v>
      </c>
      <c r="L1381" s="152">
        <v>0</v>
      </c>
      <c r="M1381" s="152"/>
      <c r="N1381" s="402">
        <f t="shared" si="395"/>
        <v>0</v>
      </c>
      <c r="O1381" s="402">
        <f t="shared" si="396"/>
        <v>0</v>
      </c>
      <c r="P1381" s="403"/>
      <c r="Q1381" s="152">
        <f t="shared" si="406"/>
        <v>0</v>
      </c>
      <c r="R1381" s="152">
        <f t="shared" si="406"/>
        <v>0</v>
      </c>
      <c r="S1381" s="402">
        <f t="shared" si="397"/>
        <v>0</v>
      </c>
      <c r="T1381" s="404">
        <f t="shared" si="393"/>
        <v>0</v>
      </c>
      <c r="U1381" s="403"/>
      <c r="W1381" s="43" t="str">
        <f t="shared" si="376"/>
        <v/>
      </c>
      <c r="X1381" s="43" t="str">
        <f t="shared" si="391"/>
        <v/>
      </c>
      <c r="Y1381" s="43" t="str">
        <f t="shared" si="388"/>
        <v/>
      </c>
    </row>
    <row r="1382" spans="1:25" hidden="1">
      <c r="A1382" s="155" t="s">
        <v>183</v>
      </c>
      <c r="B1382" s="156"/>
      <c r="C1382" s="411" t="s">
        <v>251</v>
      </c>
      <c r="D1382" s="351"/>
      <c r="E1382" s="405">
        <v>500</v>
      </c>
      <c r="F1382" s="406">
        <f>VLOOKUP(C1381,'ENSAIOS DE ORÇAMENTO'!$C$3:$L$79,4,FALSE)</f>
        <v>0.43030000000000002</v>
      </c>
      <c r="G1382" s="158">
        <f>IF(E1382&lt;=30,(0.42*E1382+3.55)*F1382,((0.42*30+3.55)+0.35*(E1382-30))*F1382)</f>
        <v>77.733695000000012</v>
      </c>
      <c r="H1382" s="465"/>
      <c r="I1382" s="465"/>
      <c r="J1382" s="407">
        <f t="shared" si="386"/>
        <v>0</v>
      </c>
      <c r="K1382" s="408"/>
      <c r="L1382" s="152">
        <v>0</v>
      </c>
      <c r="M1382" s="213"/>
      <c r="N1382" s="402">
        <f t="shared" si="395"/>
        <v>0</v>
      </c>
      <c r="O1382" s="402">
        <f t="shared" si="396"/>
        <v>0</v>
      </c>
      <c r="P1382" s="403"/>
      <c r="Q1382" s="464"/>
      <c r="R1382" s="464"/>
      <c r="S1382" s="402">
        <f t="shared" si="397"/>
        <v>0</v>
      </c>
      <c r="T1382" s="404">
        <f t="shared" si="393"/>
        <v>0</v>
      </c>
      <c r="U1382" s="403"/>
      <c r="V1382" s="160" t="str">
        <f>IF(T1381&gt;0,"xx",IF(O1381&gt;0,"xy",""))</f>
        <v/>
      </c>
      <c r="W1382" s="43" t="str">
        <f t="shared" si="376"/>
        <v/>
      </c>
      <c r="X1382" s="43" t="str">
        <f t="shared" si="391"/>
        <v/>
      </c>
      <c r="Y1382" s="43" t="str">
        <f t="shared" si="388"/>
        <v/>
      </c>
    </row>
    <row r="1383" spans="1:25" hidden="1">
      <c r="A1383" s="155" t="s">
        <v>183</v>
      </c>
      <c r="B1383" s="156"/>
      <c r="C1383" s="411" t="s">
        <v>314</v>
      </c>
      <c r="D1383" s="351"/>
      <c r="E1383" s="405">
        <v>180</v>
      </c>
      <c r="F1383" s="406">
        <f>VLOOKUP(C1381,'ENSAIOS DE ORÇAMENTO'!$C$3:$L$79,5,FALSE)</f>
        <v>1.2290300000000001</v>
      </c>
      <c r="G1383" s="158">
        <f t="shared" ref="G1383:G1385" si="411">IF(E1383&lt;=30,(0.6*E1383+1.25)*F1383,((0.6*30+1.25)+0.5*(E1383-30))*F1383)</f>
        <v>115.8360775</v>
      </c>
      <c r="H1383" s="465"/>
      <c r="I1383" s="465"/>
      <c r="J1383" s="407">
        <f t="shared" si="386"/>
        <v>0</v>
      </c>
      <c r="K1383" s="408"/>
      <c r="L1383" s="152">
        <v>0</v>
      </c>
      <c r="M1383" s="213"/>
      <c r="N1383" s="402">
        <f t="shared" si="395"/>
        <v>0</v>
      </c>
      <c r="O1383" s="402">
        <f t="shared" si="396"/>
        <v>0</v>
      </c>
      <c r="P1383" s="403"/>
      <c r="Q1383" s="464"/>
      <c r="R1383" s="464"/>
      <c r="S1383" s="402">
        <f t="shared" si="397"/>
        <v>0</v>
      </c>
      <c r="T1383" s="404">
        <f t="shared" si="393"/>
        <v>0</v>
      </c>
      <c r="U1383" s="403"/>
      <c r="V1383" s="160" t="str">
        <f>IF(T1381&gt;0,"xx",IF(O1381&gt;0,"xy",""))</f>
        <v/>
      </c>
      <c r="W1383" s="43" t="str">
        <f t="shared" si="376"/>
        <v/>
      </c>
      <c r="X1383" s="43" t="str">
        <f t="shared" si="391"/>
        <v/>
      </c>
      <c r="Y1383" s="43" t="str">
        <f t="shared" si="388"/>
        <v/>
      </c>
    </row>
    <row r="1384" spans="1:25" hidden="1">
      <c r="A1384" s="155" t="s">
        <v>183</v>
      </c>
      <c r="B1384" s="156"/>
      <c r="C1384" s="411" t="s">
        <v>323</v>
      </c>
      <c r="D1384" s="351"/>
      <c r="E1384" s="405">
        <v>20</v>
      </c>
      <c r="F1384" s="406">
        <f>VLOOKUP(C1381,'ENSAIOS DE ORÇAMENTO'!$C$3:$L$79,6,FALSE)</f>
        <v>1.4718600000000002</v>
      </c>
      <c r="G1384" s="158">
        <f t="shared" si="411"/>
        <v>19.502145000000002</v>
      </c>
      <c r="H1384" s="465"/>
      <c r="I1384" s="465"/>
      <c r="J1384" s="407">
        <f t="shared" si="386"/>
        <v>0</v>
      </c>
      <c r="K1384" s="408"/>
      <c r="L1384" s="152">
        <v>0</v>
      </c>
      <c r="M1384" s="213"/>
      <c r="N1384" s="402">
        <f t="shared" si="395"/>
        <v>0</v>
      </c>
      <c r="O1384" s="402">
        <f t="shared" si="396"/>
        <v>0</v>
      </c>
      <c r="P1384" s="403"/>
      <c r="Q1384" s="464"/>
      <c r="R1384" s="464"/>
      <c r="S1384" s="402">
        <f t="shared" si="397"/>
        <v>0</v>
      </c>
      <c r="T1384" s="404">
        <f t="shared" si="393"/>
        <v>0</v>
      </c>
      <c r="U1384" s="403"/>
      <c r="V1384" s="160" t="str">
        <f>IF(T1381&gt;0,"xx",IF(O1381&gt;0,"xy",""))</f>
        <v/>
      </c>
      <c r="W1384" s="43" t="str">
        <f t="shared" ref="W1384:W1452" si="412">IF(V1384="X","x",IF(V1384="xx","x",IF(V1384="xy","x",IF(V1384="y","x",IF(OR(O1384&gt;0,T1384&gt;0),"x","")))))</f>
        <v/>
      </c>
      <c r="X1384" s="43" t="str">
        <f t="shared" si="391"/>
        <v/>
      </c>
      <c r="Y1384" s="43" t="str">
        <f t="shared" si="388"/>
        <v/>
      </c>
    </row>
    <row r="1385" spans="1:25" hidden="1">
      <c r="A1385" s="155" t="s">
        <v>183</v>
      </c>
      <c r="B1385" s="156"/>
      <c r="C1385" s="411" t="s">
        <v>511</v>
      </c>
      <c r="D1385" s="351"/>
      <c r="E1385" s="405">
        <v>30</v>
      </c>
      <c r="F1385" s="406">
        <f>VLOOKUP(C1381,'ENSAIOS DE ORÇAMENTO'!$C$3:$L$79,3,FALSE)</f>
        <v>0</v>
      </c>
      <c r="G1385" s="158">
        <f t="shared" si="411"/>
        <v>0</v>
      </c>
      <c r="H1385" s="465"/>
      <c r="I1385" s="465"/>
      <c r="J1385" s="407">
        <f t="shared" si="386"/>
        <v>0</v>
      </c>
      <c r="K1385" s="408"/>
      <c r="L1385" s="152">
        <v>0</v>
      </c>
      <c r="M1385" s="213"/>
      <c r="N1385" s="402">
        <f t="shared" si="395"/>
        <v>0</v>
      </c>
      <c r="O1385" s="402">
        <f t="shared" si="396"/>
        <v>0</v>
      </c>
      <c r="P1385" s="403"/>
      <c r="Q1385" s="464"/>
      <c r="R1385" s="464"/>
      <c r="S1385" s="402">
        <f t="shared" si="397"/>
        <v>0</v>
      </c>
      <c r="T1385" s="404">
        <f t="shared" si="393"/>
        <v>0</v>
      </c>
      <c r="U1385" s="403"/>
      <c r="V1385" s="160" t="str">
        <f>IF(T1381&gt;0,"xx",IF(O1381&gt;0,"xy",""))</f>
        <v/>
      </c>
      <c r="W1385" s="43" t="str">
        <f t="shared" si="412"/>
        <v/>
      </c>
      <c r="X1385" s="43" t="str">
        <f t="shared" si="391"/>
        <v/>
      </c>
      <c r="Y1385" s="43" t="str">
        <f t="shared" si="388"/>
        <v/>
      </c>
    </row>
    <row r="1386" spans="1:25" hidden="1">
      <c r="A1386" s="155" t="s">
        <v>183</v>
      </c>
      <c r="B1386" s="156"/>
      <c r="C1386" s="411" t="s">
        <v>512</v>
      </c>
      <c r="D1386" s="351"/>
      <c r="E1386" s="405">
        <v>500</v>
      </c>
      <c r="F1386" s="406">
        <f>VLOOKUP(C1381,'ENSAIOS DE ORÇAMENTO'!$C$3:$L$79,10,FALSE)</f>
        <v>0</v>
      </c>
      <c r="G1386" s="158">
        <f t="shared" ref="G1386" si="413">IF(E1386&lt;=30,(0.42*E1386+3.55)*F1386,((0.42*30+3.55)+0.35*(E1386-30))*F1386)</f>
        <v>0</v>
      </c>
      <c r="H1386" s="465"/>
      <c r="I1386" s="465"/>
      <c r="J1386" s="407">
        <f t="shared" si="386"/>
        <v>0</v>
      </c>
      <c r="K1386" s="408"/>
      <c r="L1386" s="152">
        <v>0</v>
      </c>
      <c r="M1386" s="213"/>
      <c r="N1386" s="402">
        <f t="shared" si="395"/>
        <v>0</v>
      </c>
      <c r="O1386" s="402">
        <f t="shared" si="396"/>
        <v>0</v>
      </c>
      <c r="P1386" s="403"/>
      <c r="Q1386" s="464"/>
      <c r="R1386" s="464"/>
      <c r="S1386" s="402">
        <f t="shared" si="397"/>
        <v>0</v>
      </c>
      <c r="T1386" s="404">
        <f t="shared" si="393"/>
        <v>0</v>
      </c>
      <c r="U1386" s="403"/>
      <c r="V1386" s="160" t="str">
        <f>IF(T1381&gt;0,"xx",IF(O1381&gt;0,"xy",""))</f>
        <v/>
      </c>
      <c r="W1386" s="43" t="str">
        <f t="shared" si="412"/>
        <v/>
      </c>
      <c r="X1386" s="43" t="str">
        <f t="shared" si="391"/>
        <v/>
      </c>
      <c r="Y1386" s="43" t="str">
        <f t="shared" si="388"/>
        <v/>
      </c>
    </row>
    <row r="1387" spans="1:25" hidden="1">
      <c r="A1387" s="155" t="s">
        <v>35</v>
      </c>
      <c r="B1387" s="156" t="s">
        <v>242</v>
      </c>
      <c r="C1387" s="411" t="s">
        <v>110</v>
      </c>
      <c r="D1387" s="351"/>
      <c r="E1387" s="405"/>
      <c r="F1387" s="406"/>
      <c r="G1387" s="158">
        <f>SUM(G1388:G1392)</f>
        <v>205.02312197000001</v>
      </c>
      <c r="H1387" s="465">
        <f>VLOOKUP(C1387,'ENSAIOS DE ORÇAMENTO'!$C$3:$L$79,8,FALSE)</f>
        <v>1410.126902</v>
      </c>
      <c r="I1387" s="465">
        <f>IF(ISBLANK(H1387),"",SUM(G1387:H1387))</f>
        <v>1615.1500239699999</v>
      </c>
      <c r="J1387" s="407">
        <f t="shared" si="386"/>
        <v>2048.0100000000002</v>
      </c>
      <c r="K1387" s="408" t="s">
        <v>23</v>
      </c>
      <c r="L1387" s="152">
        <v>0</v>
      </c>
      <c r="M1387" s="152"/>
      <c r="N1387" s="402">
        <f t="shared" si="395"/>
        <v>0</v>
      </c>
      <c r="O1387" s="402">
        <f t="shared" si="396"/>
        <v>0</v>
      </c>
      <c r="P1387" s="403"/>
      <c r="Q1387" s="152">
        <f t="shared" si="406"/>
        <v>0</v>
      </c>
      <c r="R1387" s="152">
        <f t="shared" si="406"/>
        <v>0</v>
      </c>
      <c r="S1387" s="402">
        <f t="shared" si="397"/>
        <v>0</v>
      </c>
      <c r="T1387" s="404">
        <f t="shared" si="393"/>
        <v>0</v>
      </c>
      <c r="U1387" s="403"/>
      <c r="W1387" s="43" t="str">
        <f t="shared" si="412"/>
        <v/>
      </c>
      <c r="X1387" s="43" t="str">
        <f t="shared" si="391"/>
        <v/>
      </c>
      <c r="Y1387" s="43" t="str">
        <f t="shared" si="388"/>
        <v/>
      </c>
    </row>
    <row r="1388" spans="1:25" hidden="1">
      <c r="A1388" s="155" t="s">
        <v>183</v>
      </c>
      <c r="B1388" s="156"/>
      <c r="C1388" s="411" t="s">
        <v>251</v>
      </c>
      <c r="D1388" s="351"/>
      <c r="E1388" s="405">
        <v>500</v>
      </c>
      <c r="F1388" s="406">
        <f>VLOOKUP(C1387,'ENSAIOS DE ORÇAMENTO'!$C$3:$L$79,4,FALSE)</f>
        <v>0.17395640000000001</v>
      </c>
      <c r="G1388" s="158">
        <f>IF(E1388&lt;=30,(0.42*E1388+3.55)*F1388,((0.42*30+3.55)+0.35*(E1388-30))*F1388)</f>
        <v>31.425223660000004</v>
      </c>
      <c r="H1388" s="465"/>
      <c r="I1388" s="465"/>
      <c r="J1388" s="407">
        <f t="shared" si="386"/>
        <v>0</v>
      </c>
      <c r="K1388" s="408"/>
      <c r="L1388" s="152">
        <v>0</v>
      </c>
      <c r="M1388" s="213"/>
      <c r="N1388" s="402">
        <f t="shared" si="395"/>
        <v>0</v>
      </c>
      <c r="O1388" s="402">
        <f t="shared" si="396"/>
        <v>0</v>
      </c>
      <c r="P1388" s="403"/>
      <c r="Q1388" s="464"/>
      <c r="R1388" s="464"/>
      <c r="S1388" s="402">
        <f t="shared" si="397"/>
        <v>0</v>
      </c>
      <c r="T1388" s="404">
        <f t="shared" si="393"/>
        <v>0</v>
      </c>
      <c r="U1388" s="403"/>
      <c r="V1388" s="160" t="str">
        <f>IF(T1387&gt;0,"xx",IF(O1387&gt;0,"xy",""))</f>
        <v/>
      </c>
      <c r="W1388" s="43" t="str">
        <f t="shared" si="412"/>
        <v/>
      </c>
      <c r="X1388" s="43" t="str">
        <f t="shared" si="391"/>
        <v/>
      </c>
      <c r="Y1388" s="43" t="str">
        <f t="shared" si="388"/>
        <v/>
      </c>
    </row>
    <row r="1389" spans="1:25" hidden="1">
      <c r="A1389" s="155" t="s">
        <v>183</v>
      </c>
      <c r="B1389" s="156"/>
      <c r="C1389" s="411" t="s">
        <v>314</v>
      </c>
      <c r="D1389" s="351"/>
      <c r="E1389" s="405">
        <v>180</v>
      </c>
      <c r="F1389" s="406">
        <f>VLOOKUP(C1387,'ENSAIOS DE ORÇAMENTO'!$C$3:$L$79,5,FALSE)</f>
        <v>1.1684278000000001</v>
      </c>
      <c r="G1389" s="158">
        <f t="shared" ref="G1389:G1391" si="414">IF(E1389&lt;=30,(0.6*E1389+1.25)*F1389,((0.6*30+1.25)+0.5*(E1389-30))*F1389)</f>
        <v>110.12432015000002</v>
      </c>
      <c r="H1389" s="465"/>
      <c r="I1389" s="465"/>
      <c r="J1389" s="407">
        <f t="shared" si="386"/>
        <v>0</v>
      </c>
      <c r="K1389" s="408"/>
      <c r="L1389" s="152">
        <v>0</v>
      </c>
      <c r="M1389" s="213"/>
      <c r="N1389" s="402">
        <f t="shared" si="395"/>
        <v>0</v>
      </c>
      <c r="O1389" s="402">
        <f t="shared" si="396"/>
        <v>0</v>
      </c>
      <c r="P1389" s="403"/>
      <c r="Q1389" s="464"/>
      <c r="R1389" s="464"/>
      <c r="S1389" s="402">
        <f t="shared" si="397"/>
        <v>0</v>
      </c>
      <c r="T1389" s="404">
        <f t="shared" si="393"/>
        <v>0</v>
      </c>
      <c r="U1389" s="403"/>
      <c r="V1389" s="160" t="str">
        <f>IF(T1387&gt;0,"xx",IF(O1387&gt;0,"xy",""))</f>
        <v/>
      </c>
      <c r="W1389" s="43" t="str">
        <f t="shared" si="412"/>
        <v/>
      </c>
      <c r="X1389" s="43" t="str">
        <f t="shared" si="391"/>
        <v/>
      </c>
      <c r="Y1389" s="43" t="str">
        <f t="shared" si="388"/>
        <v/>
      </c>
    </row>
    <row r="1390" spans="1:25" hidden="1">
      <c r="A1390" s="155" t="s">
        <v>183</v>
      </c>
      <c r="B1390" s="156"/>
      <c r="C1390" s="411" t="s">
        <v>323</v>
      </c>
      <c r="D1390" s="351"/>
      <c r="E1390" s="405">
        <v>20</v>
      </c>
      <c r="F1390" s="406">
        <f>VLOOKUP(C1387,'ENSAIOS DE ORÇAMENTO'!$C$3:$L$79,6,FALSE)</f>
        <v>0.38805600000000001</v>
      </c>
      <c r="G1390" s="158">
        <f t="shared" si="414"/>
        <v>5.1417419999999998</v>
      </c>
      <c r="H1390" s="465"/>
      <c r="I1390" s="465"/>
      <c r="J1390" s="407">
        <f t="shared" si="386"/>
        <v>0</v>
      </c>
      <c r="K1390" s="408"/>
      <c r="L1390" s="152">
        <v>0</v>
      </c>
      <c r="M1390" s="213"/>
      <c r="N1390" s="402">
        <f t="shared" si="395"/>
        <v>0</v>
      </c>
      <c r="O1390" s="402">
        <f t="shared" si="396"/>
        <v>0</v>
      </c>
      <c r="P1390" s="403"/>
      <c r="Q1390" s="464"/>
      <c r="R1390" s="464"/>
      <c r="S1390" s="402">
        <f t="shared" si="397"/>
        <v>0</v>
      </c>
      <c r="T1390" s="404">
        <f t="shared" si="393"/>
        <v>0</v>
      </c>
      <c r="U1390" s="403"/>
      <c r="V1390" s="160" t="str">
        <f>IF(T1387&gt;0,"xx",IF(O1387&gt;0,"xy",""))</f>
        <v/>
      </c>
      <c r="W1390" s="43" t="str">
        <f t="shared" si="412"/>
        <v/>
      </c>
      <c r="X1390" s="43" t="str">
        <f t="shared" si="391"/>
        <v/>
      </c>
      <c r="Y1390" s="43" t="str">
        <f t="shared" si="388"/>
        <v/>
      </c>
    </row>
    <row r="1391" spans="1:25" hidden="1">
      <c r="A1391" s="155" t="s">
        <v>183</v>
      </c>
      <c r="B1391" s="156"/>
      <c r="C1391" s="411" t="s">
        <v>511</v>
      </c>
      <c r="D1391" s="351"/>
      <c r="E1391" s="405">
        <v>30</v>
      </c>
      <c r="F1391" s="406">
        <f>VLOOKUP(C1387,'ENSAIOS DE ORÇAMENTO'!$C$3:$L$79,3,FALSE)</f>
        <v>2.2625199999999999</v>
      </c>
      <c r="G1391" s="158">
        <f t="shared" si="414"/>
        <v>43.553509999999996</v>
      </c>
      <c r="H1391" s="465"/>
      <c r="I1391" s="465"/>
      <c r="J1391" s="407">
        <f t="shared" si="386"/>
        <v>0</v>
      </c>
      <c r="K1391" s="408"/>
      <c r="L1391" s="152">
        <v>0</v>
      </c>
      <c r="M1391" s="213"/>
      <c r="N1391" s="402">
        <f t="shared" si="395"/>
        <v>0</v>
      </c>
      <c r="O1391" s="402">
        <f t="shared" si="396"/>
        <v>0</v>
      </c>
      <c r="P1391" s="403"/>
      <c r="Q1391" s="464"/>
      <c r="R1391" s="464"/>
      <c r="S1391" s="402">
        <f t="shared" si="397"/>
        <v>0</v>
      </c>
      <c r="T1391" s="404">
        <f t="shared" si="393"/>
        <v>0</v>
      </c>
      <c r="U1391" s="403"/>
      <c r="V1391" s="160" t="str">
        <f>IF(T1387&gt;0,"xx",IF(O1387&gt;0,"xy",""))</f>
        <v/>
      </c>
      <c r="W1391" s="43" t="str">
        <f t="shared" si="412"/>
        <v/>
      </c>
      <c r="X1391" s="43" t="str">
        <f t="shared" si="391"/>
        <v/>
      </c>
      <c r="Y1391" s="43" t="str">
        <f t="shared" si="388"/>
        <v/>
      </c>
    </row>
    <row r="1392" spans="1:25" hidden="1">
      <c r="A1392" s="155" t="s">
        <v>183</v>
      </c>
      <c r="B1392" s="156"/>
      <c r="C1392" s="411" t="s">
        <v>512</v>
      </c>
      <c r="D1392" s="351"/>
      <c r="E1392" s="405">
        <v>500</v>
      </c>
      <c r="F1392" s="406">
        <f>VLOOKUP(C1387,'ENSAIOS DE ORÇAMENTO'!$C$3:$L$79,10,FALSE)</f>
        <v>8.1806400000000001E-2</v>
      </c>
      <c r="G1392" s="158">
        <f t="shared" ref="G1392" si="415">IF(E1392&lt;=30,(0.42*E1392+3.55)*F1392,((0.42*30+3.55)+0.35*(E1392-30))*F1392)</f>
        <v>14.778326160000001</v>
      </c>
      <c r="H1392" s="465"/>
      <c r="I1392" s="465"/>
      <c r="J1392" s="407">
        <f t="shared" si="386"/>
        <v>0</v>
      </c>
      <c r="K1392" s="408"/>
      <c r="L1392" s="152">
        <v>0</v>
      </c>
      <c r="M1392" s="213"/>
      <c r="N1392" s="402">
        <f t="shared" si="395"/>
        <v>0</v>
      </c>
      <c r="O1392" s="402">
        <f t="shared" si="396"/>
        <v>0</v>
      </c>
      <c r="P1392" s="403"/>
      <c r="Q1392" s="464"/>
      <c r="R1392" s="464"/>
      <c r="S1392" s="402">
        <f t="shared" si="397"/>
        <v>0</v>
      </c>
      <c r="T1392" s="404">
        <f t="shared" si="393"/>
        <v>0</v>
      </c>
      <c r="U1392" s="403"/>
      <c r="V1392" s="160" t="str">
        <f>IF(T1387&gt;0,"xx",IF(O1387&gt;0,"xy",""))</f>
        <v/>
      </c>
      <c r="W1392" s="43" t="str">
        <f t="shared" si="412"/>
        <v/>
      </c>
      <c r="X1392" s="43" t="str">
        <f t="shared" si="391"/>
        <v/>
      </c>
      <c r="Y1392" s="43" t="str">
        <f t="shared" si="388"/>
        <v/>
      </c>
    </row>
    <row r="1393" spans="1:25" hidden="1">
      <c r="A1393" s="155" t="s">
        <v>36</v>
      </c>
      <c r="B1393" s="156" t="s">
        <v>242</v>
      </c>
      <c r="C1393" s="411" t="s">
        <v>111</v>
      </c>
      <c r="D1393" s="351"/>
      <c r="E1393" s="405"/>
      <c r="F1393" s="406"/>
      <c r="G1393" s="158">
        <f>SUM(G1394:G1398)</f>
        <v>242.66010265000003</v>
      </c>
      <c r="H1393" s="465">
        <f>VLOOKUP(C1393,'ENSAIOS DE ORÇAMENTO'!$C$3:$L$79,8,FALSE)</f>
        <v>1545.1519219999998</v>
      </c>
      <c r="I1393" s="465">
        <f>IF(ISBLANK(H1393),"",SUM(G1393:H1393))</f>
        <v>1787.8120246499998</v>
      </c>
      <c r="J1393" s="407">
        <f t="shared" si="386"/>
        <v>2266.9499999999998</v>
      </c>
      <c r="K1393" s="408" t="s">
        <v>23</v>
      </c>
      <c r="L1393" s="152">
        <v>0</v>
      </c>
      <c r="M1393" s="152"/>
      <c r="N1393" s="402">
        <f t="shared" si="395"/>
        <v>0</v>
      </c>
      <c r="O1393" s="402">
        <f t="shared" si="396"/>
        <v>0</v>
      </c>
      <c r="P1393" s="403"/>
      <c r="Q1393" s="152">
        <f t="shared" si="406"/>
        <v>0</v>
      </c>
      <c r="R1393" s="152">
        <f t="shared" si="406"/>
        <v>0</v>
      </c>
      <c r="S1393" s="402">
        <f t="shared" si="397"/>
        <v>0</v>
      </c>
      <c r="T1393" s="404">
        <f t="shared" si="393"/>
        <v>0</v>
      </c>
      <c r="U1393" s="403"/>
      <c r="W1393" s="43" t="str">
        <f t="shared" si="412"/>
        <v/>
      </c>
      <c r="X1393" s="43" t="str">
        <f t="shared" si="391"/>
        <v/>
      </c>
      <c r="Y1393" s="43" t="str">
        <f t="shared" si="388"/>
        <v/>
      </c>
    </row>
    <row r="1394" spans="1:25" hidden="1">
      <c r="A1394" s="155" t="s">
        <v>183</v>
      </c>
      <c r="B1394" s="156"/>
      <c r="C1394" s="411" t="s">
        <v>251</v>
      </c>
      <c r="D1394" s="351"/>
      <c r="E1394" s="405">
        <v>500</v>
      </c>
      <c r="F1394" s="406">
        <f>VLOOKUP(C1393,'ENSAIOS DE ORÇAMENTO'!$C$3:$L$79,4,FALSE)</f>
        <v>0.194408</v>
      </c>
      <c r="G1394" s="158">
        <f>IF(E1394&lt;=30,(0.42*E1394+3.55)*F1394,((0.42*30+3.55)+0.35*(E1394-30))*F1394)</f>
        <v>35.119805200000002</v>
      </c>
      <c r="H1394" s="465"/>
      <c r="I1394" s="465"/>
      <c r="J1394" s="407">
        <f t="shared" ref="J1394:J1457" si="416">IF(ISBLANK(H1394),0,ROUND(I1394*(1+$E$10)*(1+$E$11*D1394),2))</f>
        <v>0</v>
      </c>
      <c r="K1394" s="408"/>
      <c r="L1394" s="152">
        <v>0</v>
      </c>
      <c r="M1394" s="213"/>
      <c r="N1394" s="402">
        <f t="shared" si="395"/>
        <v>0</v>
      </c>
      <c r="O1394" s="402">
        <f t="shared" si="396"/>
        <v>0</v>
      </c>
      <c r="P1394" s="403"/>
      <c r="Q1394" s="464"/>
      <c r="R1394" s="464"/>
      <c r="S1394" s="402">
        <f t="shared" si="397"/>
        <v>0</v>
      </c>
      <c r="T1394" s="404">
        <f t="shared" si="393"/>
        <v>0</v>
      </c>
      <c r="U1394" s="403"/>
      <c r="V1394" s="160" t="str">
        <f>IF(T1393&gt;0,"xx",IF(O1393&gt;0,"xy",""))</f>
        <v/>
      </c>
      <c r="W1394" s="43" t="str">
        <f t="shared" si="412"/>
        <v/>
      </c>
      <c r="X1394" s="43" t="str">
        <f t="shared" si="391"/>
        <v/>
      </c>
      <c r="Y1394" s="43" t="str">
        <f t="shared" si="388"/>
        <v/>
      </c>
    </row>
    <row r="1395" spans="1:25" hidden="1">
      <c r="A1395" s="155" t="s">
        <v>183</v>
      </c>
      <c r="B1395" s="156"/>
      <c r="C1395" s="411" t="s">
        <v>314</v>
      </c>
      <c r="D1395" s="351"/>
      <c r="E1395" s="405">
        <v>180</v>
      </c>
      <c r="F1395" s="406">
        <f>VLOOKUP(C1393,'ENSAIOS DE ORÇAMENTO'!$C$3:$L$79,5,FALSE)</f>
        <v>1.3738330000000001</v>
      </c>
      <c r="G1395" s="158">
        <f t="shared" ref="G1395:G1397" si="417">IF(E1395&lt;=30,(0.6*E1395+1.25)*F1395,((0.6*30+1.25)+0.5*(E1395-30))*F1395)</f>
        <v>129.48376025000002</v>
      </c>
      <c r="H1395" s="465"/>
      <c r="I1395" s="465"/>
      <c r="J1395" s="407">
        <f t="shared" si="416"/>
        <v>0</v>
      </c>
      <c r="K1395" s="408"/>
      <c r="L1395" s="152">
        <v>0</v>
      </c>
      <c r="M1395" s="213"/>
      <c r="N1395" s="402">
        <f t="shared" si="395"/>
        <v>0</v>
      </c>
      <c r="O1395" s="402">
        <f t="shared" si="396"/>
        <v>0</v>
      </c>
      <c r="P1395" s="403"/>
      <c r="Q1395" s="464"/>
      <c r="R1395" s="464"/>
      <c r="S1395" s="402">
        <f t="shared" si="397"/>
        <v>0</v>
      </c>
      <c r="T1395" s="404">
        <f t="shared" si="393"/>
        <v>0</v>
      </c>
      <c r="U1395" s="403"/>
      <c r="V1395" s="160" t="str">
        <f>IF(T1393&gt;0,"xx",IF(O1393&gt;0,"xy",""))</f>
        <v/>
      </c>
      <c r="W1395" s="43" t="str">
        <f t="shared" si="412"/>
        <v/>
      </c>
      <c r="X1395" s="43" t="str">
        <f t="shared" si="391"/>
        <v/>
      </c>
      <c r="Y1395" s="43" t="str">
        <f t="shared" si="388"/>
        <v/>
      </c>
    </row>
    <row r="1396" spans="1:25" hidden="1">
      <c r="A1396" s="155" t="s">
        <v>183</v>
      </c>
      <c r="B1396" s="156"/>
      <c r="C1396" s="411" t="s">
        <v>323</v>
      </c>
      <c r="D1396" s="351"/>
      <c r="E1396" s="405">
        <v>20</v>
      </c>
      <c r="F1396" s="406">
        <f>VLOOKUP(C1393,'ENSAIOS DE ORÇAMENTO'!$C$3:$L$79,6,FALSE)</f>
        <v>0.38805600000000001</v>
      </c>
      <c r="G1396" s="158">
        <f t="shared" si="417"/>
        <v>5.1417419999999998</v>
      </c>
      <c r="H1396" s="465"/>
      <c r="I1396" s="465"/>
      <c r="J1396" s="407">
        <f t="shared" si="416"/>
        <v>0</v>
      </c>
      <c r="K1396" s="408"/>
      <c r="L1396" s="152">
        <v>0</v>
      </c>
      <c r="M1396" s="213"/>
      <c r="N1396" s="402">
        <f t="shared" si="395"/>
        <v>0</v>
      </c>
      <c r="O1396" s="402">
        <f t="shared" si="396"/>
        <v>0</v>
      </c>
      <c r="P1396" s="403"/>
      <c r="Q1396" s="464"/>
      <c r="R1396" s="464"/>
      <c r="S1396" s="402">
        <f t="shared" si="397"/>
        <v>0</v>
      </c>
      <c r="T1396" s="404">
        <f t="shared" si="393"/>
        <v>0</v>
      </c>
      <c r="U1396" s="403"/>
      <c r="V1396" s="160" t="str">
        <f>IF(T1393&gt;0,"xx",IF(O1393&gt;0,"xy",""))</f>
        <v/>
      </c>
      <c r="W1396" s="43" t="str">
        <f t="shared" si="412"/>
        <v/>
      </c>
      <c r="X1396" s="43" t="str">
        <f t="shared" si="391"/>
        <v/>
      </c>
      <c r="Y1396" s="43" t="str">
        <f t="shared" ref="Y1396:Y1459" si="418">IF(V1396="X","x",IF(T1396&gt;0,"x",""))</f>
        <v/>
      </c>
    </row>
    <row r="1397" spans="1:25" hidden="1">
      <c r="A1397" s="155" t="s">
        <v>183</v>
      </c>
      <c r="B1397" s="156"/>
      <c r="C1397" s="411" t="s">
        <v>511</v>
      </c>
      <c r="D1397" s="351"/>
      <c r="E1397" s="405">
        <v>30</v>
      </c>
      <c r="F1397" s="406">
        <f>VLOOKUP(C1393,'ENSAIOS DE ORÇAMENTO'!$C$3:$L$79,3,FALSE)</f>
        <v>2.8281499999999999</v>
      </c>
      <c r="G1397" s="158">
        <f t="shared" si="417"/>
        <v>54.4418875</v>
      </c>
      <c r="H1397" s="465"/>
      <c r="I1397" s="465"/>
      <c r="J1397" s="407">
        <f t="shared" si="416"/>
        <v>0</v>
      </c>
      <c r="K1397" s="408"/>
      <c r="L1397" s="152">
        <v>0</v>
      </c>
      <c r="M1397" s="213"/>
      <c r="N1397" s="402">
        <f t="shared" si="395"/>
        <v>0</v>
      </c>
      <c r="O1397" s="402">
        <f t="shared" si="396"/>
        <v>0</v>
      </c>
      <c r="P1397" s="403"/>
      <c r="Q1397" s="464"/>
      <c r="R1397" s="464"/>
      <c r="S1397" s="402">
        <f t="shared" si="397"/>
        <v>0</v>
      </c>
      <c r="T1397" s="404">
        <f t="shared" si="393"/>
        <v>0</v>
      </c>
      <c r="U1397" s="403"/>
      <c r="V1397" s="160" t="str">
        <f>IF(T1393&gt;0,"xx",IF(O1393&gt;0,"xy",""))</f>
        <v/>
      </c>
      <c r="W1397" s="43" t="str">
        <f t="shared" si="412"/>
        <v/>
      </c>
      <c r="X1397" s="43" t="str">
        <f t="shared" si="391"/>
        <v/>
      </c>
      <c r="Y1397" s="43" t="str">
        <f t="shared" si="418"/>
        <v/>
      </c>
    </row>
    <row r="1398" spans="1:25" hidden="1">
      <c r="A1398" s="155" t="s">
        <v>183</v>
      </c>
      <c r="B1398" s="156"/>
      <c r="C1398" s="411" t="s">
        <v>512</v>
      </c>
      <c r="D1398" s="351"/>
      <c r="E1398" s="405">
        <v>500</v>
      </c>
      <c r="F1398" s="406">
        <f>VLOOKUP(C1393,'ENSAIOS DE ORÇAMENTO'!$C$3:$L$79,10,FALSE)</f>
        <v>0.10225799999999999</v>
      </c>
      <c r="G1398" s="158">
        <f t="shared" ref="G1398" si="419">IF(E1398&lt;=30,(0.42*E1398+3.55)*F1398,((0.42*30+3.55)+0.35*(E1398-30))*F1398)</f>
        <v>18.472907699999997</v>
      </c>
      <c r="H1398" s="465"/>
      <c r="I1398" s="465"/>
      <c r="J1398" s="407">
        <f t="shared" si="416"/>
        <v>0</v>
      </c>
      <c r="K1398" s="408"/>
      <c r="L1398" s="152">
        <v>0</v>
      </c>
      <c r="M1398" s="213"/>
      <c r="N1398" s="402">
        <f t="shared" si="395"/>
        <v>0</v>
      </c>
      <c r="O1398" s="402">
        <f t="shared" si="396"/>
        <v>0</v>
      </c>
      <c r="P1398" s="403"/>
      <c r="Q1398" s="464"/>
      <c r="R1398" s="464"/>
      <c r="S1398" s="402">
        <f t="shared" si="397"/>
        <v>0</v>
      </c>
      <c r="T1398" s="404">
        <f t="shared" si="393"/>
        <v>0</v>
      </c>
      <c r="U1398" s="403"/>
      <c r="V1398" s="160" t="str">
        <f>IF(T1393&gt;0,"xx",IF(O1393&gt;0,"xy",""))</f>
        <v/>
      </c>
      <c r="W1398" s="43" t="str">
        <f t="shared" si="412"/>
        <v/>
      </c>
      <c r="X1398" s="43" t="str">
        <f t="shared" si="391"/>
        <v/>
      </c>
      <c r="Y1398" s="43" t="str">
        <f t="shared" si="418"/>
        <v/>
      </c>
    </row>
    <row r="1399" spans="1:25" hidden="1">
      <c r="A1399" s="155" t="s">
        <v>126</v>
      </c>
      <c r="B1399" s="156" t="s">
        <v>242</v>
      </c>
      <c r="C1399" s="411" t="s">
        <v>112</v>
      </c>
      <c r="D1399" s="351"/>
      <c r="E1399" s="405"/>
      <c r="F1399" s="406"/>
      <c r="G1399" s="158">
        <f>SUM(G1400:G1404)</f>
        <v>304.90587839</v>
      </c>
      <c r="H1399" s="465">
        <f>VLOOKUP(C1399,'ENSAIOS DE ORÇAMENTO'!$C$3:$L$79,8,FALSE)</f>
        <v>1768.4625319999998</v>
      </c>
      <c r="I1399" s="465">
        <f>IF(ISBLANK(H1399),"",SUM(G1399:H1399))</f>
        <v>2073.3684103899996</v>
      </c>
      <c r="J1399" s="407">
        <f t="shared" si="416"/>
        <v>2629.03</v>
      </c>
      <c r="K1399" s="408" t="s">
        <v>23</v>
      </c>
      <c r="L1399" s="152">
        <v>0</v>
      </c>
      <c r="M1399" s="152"/>
      <c r="N1399" s="402">
        <f t="shared" si="395"/>
        <v>0</v>
      </c>
      <c r="O1399" s="402">
        <f t="shared" si="396"/>
        <v>0</v>
      </c>
      <c r="P1399" s="403"/>
      <c r="Q1399" s="152">
        <f t="shared" si="406"/>
        <v>0</v>
      </c>
      <c r="R1399" s="152">
        <f t="shared" si="406"/>
        <v>0</v>
      </c>
      <c r="S1399" s="402">
        <f t="shared" si="397"/>
        <v>0</v>
      </c>
      <c r="T1399" s="404">
        <f t="shared" si="393"/>
        <v>0</v>
      </c>
      <c r="U1399" s="403"/>
      <c r="W1399" s="43" t="str">
        <f t="shared" si="412"/>
        <v/>
      </c>
      <c r="X1399" s="43" t="str">
        <f t="shared" si="391"/>
        <v/>
      </c>
      <c r="Y1399" s="43" t="str">
        <f t="shared" si="418"/>
        <v/>
      </c>
    </row>
    <row r="1400" spans="1:25" hidden="1">
      <c r="A1400" s="155" t="s">
        <v>183</v>
      </c>
      <c r="B1400" s="156"/>
      <c r="C1400" s="411" t="s">
        <v>251</v>
      </c>
      <c r="D1400" s="351"/>
      <c r="E1400" s="405">
        <v>500</v>
      </c>
      <c r="F1400" s="406">
        <f>VLOOKUP(C1399,'ENSAIOS DE ORÇAMENTO'!$C$3:$L$79,4,FALSE)</f>
        <v>0.22823180000000001</v>
      </c>
      <c r="G1400" s="158">
        <f>IF(E1400&lt;=30,(0.42*E1400+3.55)*F1400,((0.42*30+3.55)+0.35*(E1400-30))*F1400)</f>
        <v>41.23007467</v>
      </c>
      <c r="H1400" s="465"/>
      <c r="I1400" s="465"/>
      <c r="J1400" s="407">
        <f t="shared" si="416"/>
        <v>0</v>
      </c>
      <c r="K1400" s="408"/>
      <c r="L1400" s="152">
        <v>0</v>
      </c>
      <c r="M1400" s="213"/>
      <c r="N1400" s="402">
        <f t="shared" si="395"/>
        <v>0</v>
      </c>
      <c r="O1400" s="402">
        <f t="shared" si="396"/>
        <v>0</v>
      </c>
      <c r="P1400" s="403"/>
      <c r="Q1400" s="464"/>
      <c r="R1400" s="464"/>
      <c r="S1400" s="402">
        <f t="shared" si="397"/>
        <v>0</v>
      </c>
      <c r="T1400" s="404">
        <f t="shared" si="393"/>
        <v>0</v>
      </c>
      <c r="U1400" s="403"/>
      <c r="V1400" s="160" t="str">
        <f>IF(T1399&gt;0,"xx",IF(O1399&gt;0,"xy",""))</f>
        <v/>
      </c>
      <c r="W1400" s="43" t="str">
        <f t="shared" si="412"/>
        <v/>
      </c>
      <c r="X1400" s="43" t="str">
        <f t="shared" si="391"/>
        <v/>
      </c>
      <c r="Y1400" s="43" t="str">
        <f t="shared" si="418"/>
        <v/>
      </c>
    </row>
    <row r="1401" spans="1:25" hidden="1">
      <c r="A1401" s="155" t="s">
        <v>183</v>
      </c>
      <c r="B1401" s="156"/>
      <c r="C1401" s="411" t="s">
        <v>314</v>
      </c>
      <c r="D1401" s="351"/>
      <c r="E1401" s="405">
        <v>180</v>
      </c>
      <c r="F1401" s="406">
        <f>VLOOKUP(C1399,'ENSAIOS DE ORÇAMENTO'!$C$3:$L$79,5,FALSE)</f>
        <v>1.7135416000000001</v>
      </c>
      <c r="G1401" s="158">
        <f t="shared" ref="G1401:G1403" si="420">IF(E1401&lt;=30,(0.6*E1401+1.25)*F1401,((0.6*30+1.25)+0.5*(E1401-30))*F1401)</f>
        <v>161.50129580000001</v>
      </c>
      <c r="H1401" s="465"/>
      <c r="I1401" s="465"/>
      <c r="J1401" s="407">
        <f t="shared" si="416"/>
        <v>0</v>
      </c>
      <c r="K1401" s="408"/>
      <c r="L1401" s="152">
        <v>0</v>
      </c>
      <c r="M1401" s="213"/>
      <c r="N1401" s="402">
        <f t="shared" si="395"/>
        <v>0</v>
      </c>
      <c r="O1401" s="402">
        <f t="shared" si="396"/>
        <v>0</v>
      </c>
      <c r="P1401" s="403"/>
      <c r="Q1401" s="464"/>
      <c r="R1401" s="464"/>
      <c r="S1401" s="402">
        <f t="shared" si="397"/>
        <v>0</v>
      </c>
      <c r="T1401" s="404">
        <f t="shared" si="393"/>
        <v>0</v>
      </c>
      <c r="U1401" s="403"/>
      <c r="V1401" s="160" t="str">
        <f>IF(T1399&gt;0,"xx",IF(O1399&gt;0,"xy",""))</f>
        <v/>
      </c>
      <c r="W1401" s="43" t="str">
        <f t="shared" si="412"/>
        <v/>
      </c>
      <c r="X1401" s="43" t="str">
        <f t="shared" si="391"/>
        <v/>
      </c>
      <c r="Y1401" s="43" t="str">
        <f t="shared" si="418"/>
        <v/>
      </c>
    </row>
    <row r="1402" spans="1:25" hidden="1">
      <c r="A1402" s="155" t="s">
        <v>183</v>
      </c>
      <c r="B1402" s="156"/>
      <c r="C1402" s="411" t="s">
        <v>323</v>
      </c>
      <c r="D1402" s="351"/>
      <c r="E1402" s="405">
        <v>20</v>
      </c>
      <c r="F1402" s="406">
        <f>VLOOKUP(C1399,'ENSAIOS DE ORÇAMENTO'!$C$3:$L$79,6,FALSE)</f>
        <v>0.38805600000000001</v>
      </c>
      <c r="G1402" s="158">
        <f t="shared" si="420"/>
        <v>5.1417419999999998</v>
      </c>
      <c r="H1402" s="465"/>
      <c r="I1402" s="465"/>
      <c r="J1402" s="407">
        <f t="shared" si="416"/>
        <v>0</v>
      </c>
      <c r="K1402" s="408"/>
      <c r="L1402" s="152">
        <v>0</v>
      </c>
      <c r="M1402" s="213"/>
      <c r="N1402" s="402">
        <f t="shared" si="395"/>
        <v>0</v>
      </c>
      <c r="O1402" s="402">
        <f t="shared" si="396"/>
        <v>0</v>
      </c>
      <c r="P1402" s="403"/>
      <c r="Q1402" s="464"/>
      <c r="R1402" s="464"/>
      <c r="S1402" s="402">
        <f t="shared" si="397"/>
        <v>0</v>
      </c>
      <c r="T1402" s="404">
        <f t="shared" si="393"/>
        <v>0</v>
      </c>
      <c r="U1402" s="403"/>
      <c r="V1402" s="160" t="str">
        <f>IF(T1399&gt;0,"xx",IF(O1399&gt;0,"xy",""))</f>
        <v/>
      </c>
      <c r="W1402" s="43" t="str">
        <f t="shared" si="412"/>
        <v/>
      </c>
      <c r="X1402" s="43" t="str">
        <f t="shared" si="391"/>
        <v/>
      </c>
      <c r="Y1402" s="43" t="str">
        <f t="shared" si="418"/>
        <v/>
      </c>
    </row>
    <row r="1403" spans="1:25" hidden="1">
      <c r="A1403" s="155" t="s">
        <v>183</v>
      </c>
      <c r="B1403" s="156"/>
      <c r="C1403" s="411" t="s">
        <v>511</v>
      </c>
      <c r="D1403" s="351"/>
      <c r="E1403" s="405">
        <v>30</v>
      </c>
      <c r="F1403" s="406">
        <f>VLOOKUP(C1399,'ENSAIOS DE ORÇAMENTO'!$C$3:$L$79,3,FALSE)</f>
        <v>3.7636150000000002</v>
      </c>
      <c r="G1403" s="158">
        <f t="shared" si="420"/>
        <v>72.449588750000004</v>
      </c>
      <c r="H1403" s="465"/>
      <c r="I1403" s="465"/>
      <c r="J1403" s="407">
        <f t="shared" si="416"/>
        <v>0</v>
      </c>
      <c r="K1403" s="408"/>
      <c r="L1403" s="152">
        <v>0</v>
      </c>
      <c r="M1403" s="213"/>
      <c r="N1403" s="402">
        <f t="shared" si="395"/>
        <v>0</v>
      </c>
      <c r="O1403" s="402">
        <f t="shared" si="396"/>
        <v>0</v>
      </c>
      <c r="P1403" s="403"/>
      <c r="Q1403" s="464"/>
      <c r="R1403" s="464"/>
      <c r="S1403" s="402">
        <f t="shared" si="397"/>
        <v>0</v>
      </c>
      <c r="T1403" s="404">
        <f t="shared" si="393"/>
        <v>0</v>
      </c>
      <c r="U1403" s="403"/>
      <c r="V1403" s="160" t="str">
        <f>IF(T1399&gt;0,"xx",IF(O1399&gt;0,"xy",""))</f>
        <v/>
      </c>
      <c r="W1403" s="43" t="str">
        <f t="shared" si="412"/>
        <v/>
      </c>
      <c r="X1403" s="43" t="str">
        <f t="shared" si="391"/>
        <v/>
      </c>
      <c r="Y1403" s="43" t="str">
        <f t="shared" si="418"/>
        <v/>
      </c>
    </row>
    <row r="1404" spans="1:25" hidden="1">
      <c r="A1404" s="155" t="s">
        <v>183</v>
      </c>
      <c r="B1404" s="156"/>
      <c r="C1404" s="411" t="s">
        <v>512</v>
      </c>
      <c r="D1404" s="351"/>
      <c r="E1404" s="405">
        <v>500</v>
      </c>
      <c r="F1404" s="406">
        <f>VLOOKUP(C1399,'ENSAIOS DE ORÇAMENTO'!$C$3:$L$79,10,FALSE)</f>
        <v>0.1360818</v>
      </c>
      <c r="G1404" s="158">
        <f t="shared" ref="G1404" si="421">IF(E1404&lt;=30,(0.42*E1404+3.55)*F1404,((0.42*30+3.55)+0.35*(E1404-30))*F1404)</f>
        <v>24.583177170000003</v>
      </c>
      <c r="H1404" s="465"/>
      <c r="I1404" s="465"/>
      <c r="J1404" s="407">
        <f t="shared" si="416"/>
        <v>0</v>
      </c>
      <c r="K1404" s="408"/>
      <c r="L1404" s="152">
        <v>0</v>
      </c>
      <c r="M1404" s="213"/>
      <c r="N1404" s="402">
        <f t="shared" si="395"/>
        <v>0</v>
      </c>
      <c r="O1404" s="402">
        <f t="shared" si="396"/>
        <v>0</v>
      </c>
      <c r="P1404" s="403"/>
      <c r="Q1404" s="464"/>
      <c r="R1404" s="464"/>
      <c r="S1404" s="402">
        <f t="shared" si="397"/>
        <v>0</v>
      </c>
      <c r="T1404" s="404">
        <f t="shared" si="393"/>
        <v>0</v>
      </c>
      <c r="U1404" s="403"/>
      <c r="V1404" s="160" t="str">
        <f>IF(T1399&gt;0,"xx",IF(O1399&gt;0,"xy",""))</f>
        <v/>
      </c>
      <c r="W1404" s="43" t="str">
        <f t="shared" si="412"/>
        <v/>
      </c>
      <c r="X1404" s="43" t="str">
        <f t="shared" si="391"/>
        <v/>
      </c>
      <c r="Y1404" s="43" t="str">
        <f t="shared" si="418"/>
        <v/>
      </c>
    </row>
    <row r="1405" spans="1:25" hidden="1">
      <c r="A1405" s="155" t="s">
        <v>127</v>
      </c>
      <c r="B1405" s="156" t="s">
        <v>242</v>
      </c>
      <c r="C1405" s="411" t="s">
        <v>113</v>
      </c>
      <c r="D1405" s="351"/>
      <c r="E1405" s="405"/>
      <c r="F1405" s="406"/>
      <c r="G1405" s="158">
        <f>SUM(G1406:G1410)</f>
        <v>368.59923030999994</v>
      </c>
      <c r="H1405" s="465">
        <f>VLOOKUP(C1405,'ENSAIOS DE ORÇAMENTO'!$C$3:$L$79,8,FALSE)</f>
        <v>1996.9664119999998</v>
      </c>
      <c r="I1405" s="465">
        <f>IF(ISBLANK(H1405),"",SUM(G1405:H1405))</f>
        <v>2365.5656423099999</v>
      </c>
      <c r="J1405" s="407">
        <f t="shared" si="416"/>
        <v>2999.54</v>
      </c>
      <c r="K1405" s="408" t="s">
        <v>23</v>
      </c>
      <c r="L1405" s="152">
        <v>0</v>
      </c>
      <c r="M1405" s="152"/>
      <c r="N1405" s="402">
        <f t="shared" si="395"/>
        <v>0</v>
      </c>
      <c r="O1405" s="402">
        <f t="shared" si="396"/>
        <v>0</v>
      </c>
      <c r="P1405" s="403"/>
      <c r="Q1405" s="152">
        <f t="shared" si="406"/>
        <v>0</v>
      </c>
      <c r="R1405" s="152">
        <f t="shared" si="406"/>
        <v>0</v>
      </c>
      <c r="S1405" s="402">
        <f t="shared" si="397"/>
        <v>0</v>
      </c>
      <c r="T1405" s="404">
        <f t="shared" ref="T1405:T1468" si="422">IF(ISBLANK(Q1405),0,ROUND(Q1405*R1405,2))</f>
        <v>0</v>
      </c>
      <c r="U1405" s="403"/>
      <c r="W1405" s="43" t="str">
        <f t="shared" si="412"/>
        <v/>
      </c>
      <c r="X1405" s="43" t="str">
        <f t="shared" si="391"/>
        <v/>
      </c>
      <c r="Y1405" s="43" t="str">
        <f t="shared" si="418"/>
        <v/>
      </c>
    </row>
    <row r="1406" spans="1:25" hidden="1">
      <c r="A1406" s="155" t="s">
        <v>183</v>
      </c>
      <c r="B1406" s="156"/>
      <c r="C1406" s="411" t="s">
        <v>251</v>
      </c>
      <c r="D1406" s="351"/>
      <c r="E1406" s="405">
        <v>500</v>
      </c>
      <c r="F1406" s="406">
        <f>VLOOKUP(C1405,'ENSAIOS DE ORÇAMENTO'!$C$3:$L$79,4,FALSE)</f>
        <v>0.26284219999999997</v>
      </c>
      <c r="G1406" s="158">
        <f>IF(E1406&lt;=30,(0.42*E1406+3.55)*F1406,((0.42*30+3.55)+0.35*(E1406-30))*F1406)</f>
        <v>47.482443429999996</v>
      </c>
      <c r="H1406" s="465"/>
      <c r="I1406" s="465"/>
      <c r="J1406" s="407">
        <f t="shared" si="416"/>
        <v>0</v>
      </c>
      <c r="K1406" s="408"/>
      <c r="L1406" s="152">
        <v>0</v>
      </c>
      <c r="M1406" s="213"/>
      <c r="N1406" s="402">
        <f t="shared" si="395"/>
        <v>0</v>
      </c>
      <c r="O1406" s="402">
        <f t="shared" si="396"/>
        <v>0</v>
      </c>
      <c r="P1406" s="403"/>
      <c r="Q1406" s="464"/>
      <c r="R1406" s="464"/>
      <c r="S1406" s="402">
        <f t="shared" si="397"/>
        <v>0</v>
      </c>
      <c r="T1406" s="404">
        <f t="shared" si="422"/>
        <v>0</v>
      </c>
      <c r="U1406" s="403"/>
      <c r="V1406" s="160" t="str">
        <f>IF(T1405&gt;0,"xx",IF(O1405&gt;0,"xy",""))</f>
        <v/>
      </c>
      <c r="W1406" s="43" t="str">
        <f t="shared" si="412"/>
        <v/>
      </c>
      <c r="X1406" s="43" t="str">
        <f t="shared" si="391"/>
        <v/>
      </c>
      <c r="Y1406" s="43" t="str">
        <f t="shared" si="418"/>
        <v/>
      </c>
    </row>
    <row r="1407" spans="1:25" hidden="1">
      <c r="A1407" s="155" t="s">
        <v>183</v>
      </c>
      <c r="B1407" s="156"/>
      <c r="C1407" s="411" t="s">
        <v>314</v>
      </c>
      <c r="D1407" s="351"/>
      <c r="E1407" s="405">
        <v>180</v>
      </c>
      <c r="F1407" s="406">
        <f>VLOOKUP(C1405,'ENSAIOS DE ORÇAMENTO'!$C$3:$L$79,5,FALSE)</f>
        <v>2.0611503999999998</v>
      </c>
      <c r="G1407" s="158">
        <f t="shared" ref="G1407:G1409" si="423">IF(E1407&lt;=30,(0.6*E1407+1.25)*F1407,((0.6*30+1.25)+0.5*(E1407-30))*F1407)</f>
        <v>194.26342519999997</v>
      </c>
      <c r="H1407" s="465"/>
      <c r="I1407" s="465"/>
      <c r="J1407" s="407">
        <f t="shared" si="416"/>
        <v>0</v>
      </c>
      <c r="K1407" s="408"/>
      <c r="L1407" s="152">
        <v>0</v>
      </c>
      <c r="M1407" s="213"/>
      <c r="N1407" s="402">
        <f t="shared" si="395"/>
        <v>0</v>
      </c>
      <c r="O1407" s="402">
        <f t="shared" si="396"/>
        <v>0</v>
      </c>
      <c r="P1407" s="403"/>
      <c r="Q1407" s="464"/>
      <c r="R1407" s="464"/>
      <c r="S1407" s="402">
        <f t="shared" si="397"/>
        <v>0</v>
      </c>
      <c r="T1407" s="404">
        <f t="shared" si="422"/>
        <v>0</v>
      </c>
      <c r="U1407" s="403"/>
      <c r="V1407" s="160" t="str">
        <f>IF(T1405&gt;0,"xx",IF(O1405&gt;0,"xy",""))</f>
        <v/>
      </c>
      <c r="W1407" s="43" t="str">
        <f t="shared" si="412"/>
        <v/>
      </c>
      <c r="X1407" s="43" t="str">
        <f t="shared" ref="X1407:X1470" si="424">IF(V1407="X","x",IF(V1407="y","x",IF(V1407="xx","x",IF(T1407&gt;0,"x",""))))</f>
        <v/>
      </c>
      <c r="Y1407" s="43" t="str">
        <f t="shared" si="418"/>
        <v/>
      </c>
    </row>
    <row r="1408" spans="1:25" hidden="1">
      <c r="A1408" s="155" t="s">
        <v>183</v>
      </c>
      <c r="B1408" s="156"/>
      <c r="C1408" s="411" t="s">
        <v>323</v>
      </c>
      <c r="D1408" s="351"/>
      <c r="E1408" s="405">
        <v>20</v>
      </c>
      <c r="F1408" s="406">
        <f>VLOOKUP(C1405,'ENSAIOS DE ORÇAMENTO'!$C$3:$L$79,6,FALSE)</f>
        <v>0.38805600000000001</v>
      </c>
      <c r="G1408" s="158">
        <f t="shared" si="423"/>
        <v>5.1417419999999998</v>
      </c>
      <c r="H1408" s="465"/>
      <c r="I1408" s="465"/>
      <c r="J1408" s="407">
        <f t="shared" si="416"/>
        <v>0</v>
      </c>
      <c r="K1408" s="408"/>
      <c r="L1408" s="152">
        <v>0</v>
      </c>
      <c r="M1408" s="213"/>
      <c r="N1408" s="402">
        <f t="shared" si="395"/>
        <v>0</v>
      </c>
      <c r="O1408" s="402">
        <f t="shared" si="396"/>
        <v>0</v>
      </c>
      <c r="P1408" s="403"/>
      <c r="Q1408" s="464"/>
      <c r="R1408" s="464"/>
      <c r="S1408" s="402">
        <f t="shared" si="397"/>
        <v>0</v>
      </c>
      <c r="T1408" s="404">
        <f t="shared" si="422"/>
        <v>0</v>
      </c>
      <c r="U1408" s="403"/>
      <c r="V1408" s="160" t="str">
        <f>IF(T1405&gt;0,"xx",IF(O1405&gt;0,"xy",""))</f>
        <v/>
      </c>
      <c r="W1408" s="43" t="str">
        <f t="shared" si="412"/>
        <v/>
      </c>
      <c r="X1408" s="43" t="str">
        <f t="shared" si="424"/>
        <v/>
      </c>
      <c r="Y1408" s="43" t="str">
        <f t="shared" si="418"/>
        <v/>
      </c>
    </row>
    <row r="1409" spans="1:25" hidden="1">
      <c r="A1409" s="155" t="s">
        <v>183</v>
      </c>
      <c r="B1409" s="156"/>
      <c r="C1409" s="411" t="s">
        <v>511</v>
      </c>
      <c r="D1409" s="351"/>
      <c r="E1409" s="405">
        <v>30</v>
      </c>
      <c r="F1409" s="406">
        <f>VLOOKUP(C1405,'ENSAIOS DE ORÇAMENTO'!$C$3:$L$79,3,FALSE)</f>
        <v>4.7208349999999992</v>
      </c>
      <c r="G1409" s="158">
        <f t="shared" si="423"/>
        <v>90.876073749999989</v>
      </c>
      <c r="H1409" s="465"/>
      <c r="I1409" s="465"/>
      <c r="J1409" s="407">
        <f t="shared" si="416"/>
        <v>0</v>
      </c>
      <c r="K1409" s="408"/>
      <c r="L1409" s="152">
        <v>0</v>
      </c>
      <c r="M1409" s="213"/>
      <c r="N1409" s="402">
        <f t="shared" si="395"/>
        <v>0</v>
      </c>
      <c r="O1409" s="402">
        <f t="shared" si="396"/>
        <v>0</v>
      </c>
      <c r="P1409" s="403"/>
      <c r="Q1409" s="464"/>
      <c r="R1409" s="464"/>
      <c r="S1409" s="402">
        <f t="shared" si="397"/>
        <v>0</v>
      </c>
      <c r="T1409" s="404">
        <f t="shared" si="422"/>
        <v>0</v>
      </c>
      <c r="U1409" s="403"/>
      <c r="V1409" s="160" t="str">
        <f>IF(T1405&gt;0,"xx",IF(O1405&gt;0,"xy",""))</f>
        <v/>
      </c>
      <c r="W1409" s="43" t="str">
        <f t="shared" si="412"/>
        <v/>
      </c>
      <c r="X1409" s="43" t="str">
        <f t="shared" si="424"/>
        <v/>
      </c>
      <c r="Y1409" s="43" t="str">
        <f t="shared" si="418"/>
        <v/>
      </c>
    </row>
    <row r="1410" spans="1:25" hidden="1">
      <c r="A1410" s="155" t="s">
        <v>183</v>
      </c>
      <c r="B1410" s="156"/>
      <c r="C1410" s="411" t="s">
        <v>512</v>
      </c>
      <c r="D1410" s="351"/>
      <c r="E1410" s="405">
        <v>500</v>
      </c>
      <c r="F1410" s="406">
        <f>VLOOKUP(C1405,'ENSAIOS DE ORÇAMENTO'!$C$3:$L$79,10,FALSE)</f>
        <v>0.17069219999999996</v>
      </c>
      <c r="G1410" s="158">
        <f t="shared" ref="G1410" si="425">IF(E1410&lt;=30,(0.42*E1410+3.55)*F1410,((0.42*30+3.55)+0.35*(E1410-30))*F1410)</f>
        <v>30.835545929999995</v>
      </c>
      <c r="H1410" s="465"/>
      <c r="I1410" s="465"/>
      <c r="J1410" s="407">
        <f t="shared" si="416"/>
        <v>0</v>
      </c>
      <c r="K1410" s="408"/>
      <c r="L1410" s="152">
        <v>0</v>
      </c>
      <c r="M1410" s="213"/>
      <c r="N1410" s="402">
        <f t="shared" si="395"/>
        <v>0</v>
      </c>
      <c r="O1410" s="402">
        <f t="shared" si="396"/>
        <v>0</v>
      </c>
      <c r="P1410" s="403"/>
      <c r="Q1410" s="464"/>
      <c r="R1410" s="464"/>
      <c r="S1410" s="402">
        <f t="shared" si="397"/>
        <v>0</v>
      </c>
      <c r="T1410" s="404">
        <f t="shared" si="422"/>
        <v>0</v>
      </c>
      <c r="U1410" s="403"/>
      <c r="V1410" s="160" t="str">
        <f>IF(T1405&gt;0,"xx",IF(O1405&gt;0,"xy",""))</f>
        <v/>
      </c>
      <c r="W1410" s="43" t="str">
        <f t="shared" si="412"/>
        <v/>
      </c>
      <c r="X1410" s="43" t="str">
        <f t="shared" si="424"/>
        <v/>
      </c>
      <c r="Y1410" s="43" t="str">
        <f t="shared" si="418"/>
        <v/>
      </c>
    </row>
    <row r="1411" spans="1:25" hidden="1">
      <c r="A1411" s="155" t="s">
        <v>128</v>
      </c>
      <c r="B1411" s="156" t="s">
        <v>242</v>
      </c>
      <c r="C1411" s="411" t="s">
        <v>517</v>
      </c>
      <c r="D1411" s="351"/>
      <c r="E1411" s="405"/>
      <c r="F1411" s="406"/>
      <c r="G1411" s="158">
        <f>SUM(G1412:G1416)</f>
        <v>414.75284775000006</v>
      </c>
      <c r="H1411" s="465">
        <f>VLOOKUP(C1411,'ENSAIOS DE ORÇAMENTO'!$C$3:$L$79,8,FALSE)</f>
        <v>1445.5981159999999</v>
      </c>
      <c r="I1411" s="465">
        <f>IF(ISBLANK(H1411),"",SUM(G1411:H1411))*0.95</f>
        <v>1767.3334155624998</v>
      </c>
      <c r="J1411" s="407">
        <f t="shared" si="416"/>
        <v>2240.98</v>
      </c>
      <c r="K1411" s="408" t="s">
        <v>23</v>
      </c>
      <c r="L1411" s="152">
        <v>0</v>
      </c>
      <c r="M1411" s="152"/>
      <c r="N1411" s="402">
        <f t="shared" si="395"/>
        <v>0</v>
      </c>
      <c r="O1411" s="402">
        <f t="shared" si="396"/>
        <v>0</v>
      </c>
      <c r="P1411" s="403"/>
      <c r="Q1411" s="152">
        <f t="shared" si="406"/>
        <v>0</v>
      </c>
      <c r="R1411" s="152">
        <f t="shared" si="406"/>
        <v>0</v>
      </c>
      <c r="S1411" s="402">
        <f t="shared" si="397"/>
        <v>0</v>
      </c>
      <c r="T1411" s="404">
        <f t="shared" si="422"/>
        <v>0</v>
      </c>
      <c r="U1411" s="403"/>
      <c r="W1411" s="43" t="str">
        <f t="shared" si="412"/>
        <v/>
      </c>
      <c r="X1411" s="43" t="str">
        <f t="shared" si="424"/>
        <v/>
      </c>
      <c r="Y1411" s="43" t="str">
        <f t="shared" si="418"/>
        <v/>
      </c>
    </row>
    <row r="1412" spans="1:25" hidden="1">
      <c r="A1412" s="155" t="s">
        <v>183</v>
      </c>
      <c r="B1412" s="156"/>
      <c r="C1412" s="411" t="s">
        <v>251</v>
      </c>
      <c r="D1412" s="351"/>
      <c r="E1412" s="405">
        <v>500</v>
      </c>
      <c r="F1412" s="406">
        <f>VLOOKUP(C1411,'ENSAIOS DE ORÇAMENTO'!$C$3:$L$79,4,FALSE)</f>
        <v>0.8263100000000001</v>
      </c>
      <c r="G1412" s="158">
        <f>IF(E1412&lt;=30,(0.42*E1412+3.55)*F1412,((0.42*30+3.55)+0.35*(E1412-30))*F1412)</f>
        <v>149.27290150000002</v>
      </c>
      <c r="H1412" s="465"/>
      <c r="I1412" s="465"/>
      <c r="J1412" s="407">
        <f t="shared" si="416"/>
        <v>0</v>
      </c>
      <c r="K1412" s="408"/>
      <c r="L1412" s="152">
        <v>0</v>
      </c>
      <c r="M1412" s="213"/>
      <c r="N1412" s="402">
        <f t="shared" si="395"/>
        <v>0</v>
      </c>
      <c r="O1412" s="402">
        <f t="shared" si="396"/>
        <v>0</v>
      </c>
      <c r="P1412" s="403"/>
      <c r="Q1412" s="464"/>
      <c r="R1412" s="464"/>
      <c r="S1412" s="402">
        <f t="shared" si="397"/>
        <v>0</v>
      </c>
      <c r="T1412" s="404">
        <f t="shared" si="422"/>
        <v>0</v>
      </c>
      <c r="U1412" s="403"/>
      <c r="V1412" s="160" t="str">
        <f>IF(T1411&gt;0,"xx",IF(O1411&gt;0,"xy",""))</f>
        <v/>
      </c>
      <c r="W1412" s="43" t="str">
        <f t="shared" si="412"/>
        <v/>
      </c>
      <c r="X1412" s="43" t="str">
        <f t="shared" si="424"/>
        <v/>
      </c>
      <c r="Y1412" s="43" t="str">
        <f t="shared" si="418"/>
        <v/>
      </c>
    </row>
    <row r="1413" spans="1:25" hidden="1">
      <c r="A1413" s="155" t="s">
        <v>183</v>
      </c>
      <c r="B1413" s="156"/>
      <c r="C1413" s="411" t="s">
        <v>314</v>
      </c>
      <c r="D1413" s="351"/>
      <c r="E1413" s="405">
        <v>180</v>
      </c>
      <c r="F1413" s="406">
        <f>VLOOKUP(C1411,'ENSAIOS DE ORÇAMENTO'!$C$3:$L$79,5,FALSE)</f>
        <v>2.4129430000000003</v>
      </c>
      <c r="G1413" s="158">
        <f t="shared" ref="G1413:G1415" si="426">IF(E1413&lt;=30,(0.6*E1413+1.25)*F1413,((0.6*30+1.25)+0.5*(E1413-30))*F1413)</f>
        <v>227.41987775000004</v>
      </c>
      <c r="H1413" s="465"/>
      <c r="I1413" s="465"/>
      <c r="J1413" s="407">
        <f t="shared" si="416"/>
        <v>0</v>
      </c>
      <c r="K1413" s="408"/>
      <c r="L1413" s="152">
        <v>0</v>
      </c>
      <c r="M1413" s="213"/>
      <c r="N1413" s="402">
        <f t="shared" si="395"/>
        <v>0</v>
      </c>
      <c r="O1413" s="402">
        <f t="shared" si="396"/>
        <v>0</v>
      </c>
      <c r="P1413" s="403"/>
      <c r="Q1413" s="464"/>
      <c r="R1413" s="464"/>
      <c r="S1413" s="402">
        <f t="shared" si="397"/>
        <v>0</v>
      </c>
      <c r="T1413" s="404">
        <f t="shared" si="422"/>
        <v>0</v>
      </c>
      <c r="U1413" s="403"/>
      <c r="V1413" s="160" t="str">
        <f>IF(T1411&gt;0,"xx",IF(O1411&gt;0,"xy",""))</f>
        <v/>
      </c>
      <c r="W1413" s="43" t="str">
        <f t="shared" si="412"/>
        <v/>
      </c>
      <c r="X1413" s="43" t="str">
        <f t="shared" si="424"/>
        <v/>
      </c>
      <c r="Y1413" s="43" t="str">
        <f t="shared" si="418"/>
        <v/>
      </c>
    </row>
    <row r="1414" spans="1:25" hidden="1">
      <c r="A1414" s="155" t="s">
        <v>183</v>
      </c>
      <c r="B1414" s="156"/>
      <c r="C1414" s="411" t="s">
        <v>323</v>
      </c>
      <c r="D1414" s="351"/>
      <c r="E1414" s="405">
        <v>20</v>
      </c>
      <c r="F1414" s="406">
        <f>VLOOKUP(C1411,'ENSAIOS DE ORÇAMENTO'!$C$3:$L$79,6,FALSE)</f>
        <v>2.8724580000000004</v>
      </c>
      <c r="G1414" s="158">
        <f t="shared" si="426"/>
        <v>38.060068500000007</v>
      </c>
      <c r="H1414" s="465"/>
      <c r="I1414" s="465"/>
      <c r="J1414" s="407">
        <f t="shared" si="416"/>
        <v>0</v>
      </c>
      <c r="K1414" s="408"/>
      <c r="L1414" s="152">
        <v>0</v>
      </c>
      <c r="M1414" s="213"/>
      <c r="N1414" s="402">
        <f t="shared" ref="N1414:N1477" si="427">IF(ISBLANK(L1414),0,ROUND(J1414*L1414,2))</f>
        <v>0</v>
      </c>
      <c r="O1414" s="402">
        <f t="shared" ref="O1414:O1477" si="428">IF(ISBLANK(M1414),0,ROUND(L1414*M1414,2))</f>
        <v>0</v>
      </c>
      <c r="P1414" s="403"/>
      <c r="Q1414" s="464"/>
      <c r="R1414" s="464"/>
      <c r="S1414" s="402">
        <f t="shared" ref="S1414:S1477" si="429">IF(ISBLANK(Q1414),0,ROUND(J1414*Q1414,2))</f>
        <v>0</v>
      </c>
      <c r="T1414" s="404">
        <f t="shared" si="422"/>
        <v>0</v>
      </c>
      <c r="U1414" s="403"/>
      <c r="V1414" s="160" t="str">
        <f>IF(T1411&gt;0,"xx",IF(O1411&gt;0,"xy",""))</f>
        <v/>
      </c>
      <c r="W1414" s="43" t="str">
        <f t="shared" si="412"/>
        <v/>
      </c>
      <c r="X1414" s="43" t="str">
        <f t="shared" si="424"/>
        <v/>
      </c>
      <c r="Y1414" s="43" t="str">
        <f t="shared" si="418"/>
        <v/>
      </c>
    </row>
    <row r="1415" spans="1:25" hidden="1">
      <c r="A1415" s="155" t="s">
        <v>183</v>
      </c>
      <c r="B1415" s="156"/>
      <c r="C1415" s="411" t="s">
        <v>511</v>
      </c>
      <c r="D1415" s="351"/>
      <c r="E1415" s="405">
        <v>30</v>
      </c>
      <c r="F1415" s="406">
        <f>VLOOKUP(C1411,'ENSAIOS DE ORÇAMENTO'!$C$3:$L$79,3,FALSE)</f>
        <v>0</v>
      </c>
      <c r="G1415" s="158">
        <f t="shared" si="426"/>
        <v>0</v>
      </c>
      <c r="H1415" s="465"/>
      <c r="I1415" s="465"/>
      <c r="J1415" s="407">
        <f t="shared" si="416"/>
        <v>0</v>
      </c>
      <c r="K1415" s="408"/>
      <c r="L1415" s="152">
        <v>0</v>
      </c>
      <c r="M1415" s="213"/>
      <c r="N1415" s="402">
        <f t="shared" si="427"/>
        <v>0</v>
      </c>
      <c r="O1415" s="402">
        <f t="shared" si="428"/>
        <v>0</v>
      </c>
      <c r="P1415" s="403"/>
      <c r="Q1415" s="464"/>
      <c r="R1415" s="464"/>
      <c r="S1415" s="402">
        <f t="shared" si="429"/>
        <v>0</v>
      </c>
      <c r="T1415" s="404">
        <f t="shared" si="422"/>
        <v>0</v>
      </c>
      <c r="U1415" s="403"/>
      <c r="V1415" s="160" t="str">
        <f>IF(T1411&gt;0,"xx",IF(O1411&gt;0,"xy",""))</f>
        <v/>
      </c>
      <c r="W1415" s="43" t="str">
        <f t="shared" si="412"/>
        <v/>
      </c>
      <c r="X1415" s="43" t="str">
        <f t="shared" si="424"/>
        <v/>
      </c>
      <c r="Y1415" s="43" t="str">
        <f t="shared" si="418"/>
        <v/>
      </c>
    </row>
    <row r="1416" spans="1:25" hidden="1">
      <c r="A1416" s="155" t="s">
        <v>183</v>
      </c>
      <c r="B1416" s="156"/>
      <c r="C1416" s="411" t="s">
        <v>512</v>
      </c>
      <c r="D1416" s="351"/>
      <c r="E1416" s="405">
        <v>500</v>
      </c>
      <c r="F1416" s="406">
        <f>VLOOKUP(C1411,'ENSAIOS DE ORÇAMENTO'!$C$3:$L$79,10,FALSE)</f>
        <v>0</v>
      </c>
      <c r="G1416" s="158">
        <f t="shared" ref="G1416" si="430">IF(E1416&lt;=30,(0.42*E1416+3.55)*F1416,((0.42*30+3.55)+0.35*(E1416-30))*F1416)</f>
        <v>0</v>
      </c>
      <c r="H1416" s="465"/>
      <c r="I1416" s="465"/>
      <c r="J1416" s="407">
        <f t="shared" si="416"/>
        <v>0</v>
      </c>
      <c r="K1416" s="408"/>
      <c r="L1416" s="152">
        <v>0</v>
      </c>
      <c r="M1416" s="213"/>
      <c r="N1416" s="402">
        <f t="shared" si="427"/>
        <v>0</v>
      </c>
      <c r="O1416" s="402">
        <f t="shared" si="428"/>
        <v>0</v>
      </c>
      <c r="P1416" s="403"/>
      <c r="Q1416" s="464"/>
      <c r="R1416" s="464"/>
      <c r="S1416" s="402">
        <f t="shared" si="429"/>
        <v>0</v>
      </c>
      <c r="T1416" s="404">
        <f t="shared" si="422"/>
        <v>0</v>
      </c>
      <c r="U1416" s="403"/>
      <c r="V1416" s="160" t="str">
        <f>IF(T1411&gt;0,"xx",IF(O1411&gt;0,"xy",""))</f>
        <v/>
      </c>
      <c r="W1416" s="43" t="str">
        <f t="shared" si="412"/>
        <v/>
      </c>
      <c r="X1416" s="43" t="str">
        <f t="shared" si="424"/>
        <v/>
      </c>
      <c r="Y1416" s="43" t="str">
        <f t="shared" si="418"/>
        <v/>
      </c>
    </row>
    <row r="1417" spans="1:25" hidden="1">
      <c r="A1417" s="155" t="s">
        <v>129</v>
      </c>
      <c r="B1417" s="156" t="s">
        <v>242</v>
      </c>
      <c r="C1417" s="411" t="s">
        <v>518</v>
      </c>
      <c r="D1417" s="351"/>
      <c r="E1417" s="405"/>
      <c r="F1417" s="406"/>
      <c r="G1417" s="158">
        <f>SUM(G1418:G1422)</f>
        <v>515.77900649999992</v>
      </c>
      <c r="H1417" s="465">
        <f>VLOOKUP(C1417,'ENSAIOS DE ORÇAMENTO'!$C$3:$L$79,8,FALSE)</f>
        <v>1708.026496</v>
      </c>
      <c r="I1417" s="465">
        <f>IF(ISBLANK(H1417),"",SUM(G1417:H1417))*0.95</f>
        <v>2112.6152273749999</v>
      </c>
      <c r="J1417" s="407">
        <f t="shared" si="416"/>
        <v>2678.8</v>
      </c>
      <c r="K1417" s="408" t="s">
        <v>23</v>
      </c>
      <c r="L1417" s="152">
        <v>0</v>
      </c>
      <c r="M1417" s="152"/>
      <c r="N1417" s="402">
        <f t="shared" si="427"/>
        <v>0</v>
      </c>
      <c r="O1417" s="402">
        <f t="shared" si="428"/>
        <v>0</v>
      </c>
      <c r="P1417" s="403"/>
      <c r="Q1417" s="152">
        <f t="shared" si="406"/>
        <v>0</v>
      </c>
      <c r="R1417" s="152">
        <f t="shared" si="406"/>
        <v>0</v>
      </c>
      <c r="S1417" s="402">
        <f t="shared" si="429"/>
        <v>0</v>
      </c>
      <c r="T1417" s="404">
        <f t="shared" si="422"/>
        <v>0</v>
      </c>
      <c r="U1417" s="403"/>
      <c r="W1417" s="43" t="str">
        <f t="shared" si="412"/>
        <v/>
      </c>
      <c r="X1417" s="43" t="str">
        <f t="shared" si="424"/>
        <v/>
      </c>
      <c r="Y1417" s="43" t="str">
        <f t="shared" si="418"/>
        <v/>
      </c>
    </row>
    <row r="1418" spans="1:25" hidden="1">
      <c r="A1418" s="155" t="s">
        <v>183</v>
      </c>
      <c r="B1418" s="156"/>
      <c r="C1418" s="411" t="s">
        <v>251</v>
      </c>
      <c r="D1418" s="351"/>
      <c r="E1418" s="405">
        <v>500</v>
      </c>
      <c r="F1418" s="406">
        <f>VLOOKUP(C1417,'ENSAIOS DE ORÇAMENTO'!$C$3:$L$79,4,FALSE)</f>
        <v>1.03322</v>
      </c>
      <c r="G1418" s="158">
        <f>IF(E1418&lt;=30,(0.42*E1418+3.55)*F1418,((0.42*30+3.55)+0.35*(E1418-30))*F1418)</f>
        <v>186.65119300000001</v>
      </c>
      <c r="H1418" s="465"/>
      <c r="I1418" s="465"/>
      <c r="J1418" s="407">
        <f t="shared" si="416"/>
        <v>0</v>
      </c>
      <c r="K1418" s="408"/>
      <c r="L1418" s="152">
        <v>0</v>
      </c>
      <c r="M1418" s="213"/>
      <c r="N1418" s="402">
        <f t="shared" si="427"/>
        <v>0</v>
      </c>
      <c r="O1418" s="402">
        <f t="shared" si="428"/>
        <v>0</v>
      </c>
      <c r="P1418" s="403"/>
      <c r="Q1418" s="464"/>
      <c r="R1418" s="464"/>
      <c r="S1418" s="402">
        <f t="shared" si="429"/>
        <v>0</v>
      </c>
      <c r="T1418" s="404">
        <f t="shared" si="422"/>
        <v>0</v>
      </c>
      <c r="U1418" s="403"/>
      <c r="V1418" s="160" t="str">
        <f>IF(T1417&gt;0,"xx",IF(O1417&gt;0,"xy",""))</f>
        <v/>
      </c>
      <c r="W1418" s="43" t="str">
        <f t="shared" si="412"/>
        <v/>
      </c>
      <c r="X1418" s="43" t="str">
        <f t="shared" si="424"/>
        <v/>
      </c>
      <c r="Y1418" s="43" t="str">
        <f t="shared" si="418"/>
        <v/>
      </c>
    </row>
    <row r="1419" spans="1:25" hidden="1">
      <c r="A1419" s="155" t="s">
        <v>183</v>
      </c>
      <c r="B1419" s="156"/>
      <c r="C1419" s="411" t="s">
        <v>314</v>
      </c>
      <c r="D1419" s="351"/>
      <c r="E1419" s="405">
        <v>180</v>
      </c>
      <c r="F1419" s="406">
        <f>VLOOKUP(C1417,'ENSAIOS DE ORÇAMENTO'!$C$3:$L$79,5,FALSE)</f>
        <v>2.9904099999999998</v>
      </c>
      <c r="G1419" s="158">
        <f t="shared" ref="G1419:G1421" si="431">IF(E1419&lt;=30,(0.6*E1419+1.25)*F1419,((0.6*30+1.25)+0.5*(E1419-30))*F1419)</f>
        <v>281.84614249999998</v>
      </c>
      <c r="H1419" s="465"/>
      <c r="I1419" s="465"/>
      <c r="J1419" s="407">
        <f t="shared" si="416"/>
        <v>0</v>
      </c>
      <c r="K1419" s="408"/>
      <c r="L1419" s="152">
        <v>0</v>
      </c>
      <c r="M1419" s="213"/>
      <c r="N1419" s="402">
        <f t="shared" si="427"/>
        <v>0</v>
      </c>
      <c r="O1419" s="402">
        <f t="shared" si="428"/>
        <v>0</v>
      </c>
      <c r="P1419" s="403"/>
      <c r="Q1419" s="464"/>
      <c r="R1419" s="464"/>
      <c r="S1419" s="402">
        <f t="shared" si="429"/>
        <v>0</v>
      </c>
      <c r="T1419" s="404">
        <f t="shared" si="422"/>
        <v>0</v>
      </c>
      <c r="U1419" s="403"/>
      <c r="V1419" s="160" t="str">
        <f>IF(T1417&gt;0,"xx",IF(O1417&gt;0,"xy",""))</f>
        <v/>
      </c>
      <c r="W1419" s="43" t="str">
        <f t="shared" si="412"/>
        <v/>
      </c>
      <c r="X1419" s="43" t="str">
        <f t="shared" si="424"/>
        <v/>
      </c>
      <c r="Y1419" s="43" t="str">
        <f t="shared" si="418"/>
        <v/>
      </c>
    </row>
    <row r="1420" spans="1:25" hidden="1">
      <c r="A1420" s="155" t="s">
        <v>183</v>
      </c>
      <c r="B1420" s="156"/>
      <c r="C1420" s="411" t="s">
        <v>323</v>
      </c>
      <c r="D1420" s="351"/>
      <c r="E1420" s="405">
        <v>20</v>
      </c>
      <c r="F1420" s="406">
        <f>VLOOKUP(C1417,'ENSAIOS DE ORÇAMENTO'!$C$3:$L$79,6,FALSE)</f>
        <v>3.5684279999999999</v>
      </c>
      <c r="G1420" s="158">
        <f t="shared" si="431"/>
        <v>47.281670999999996</v>
      </c>
      <c r="H1420" s="465"/>
      <c r="I1420" s="465"/>
      <c r="J1420" s="407">
        <f t="shared" si="416"/>
        <v>0</v>
      </c>
      <c r="K1420" s="408"/>
      <c r="L1420" s="152">
        <v>0</v>
      </c>
      <c r="M1420" s="213"/>
      <c r="N1420" s="402">
        <f t="shared" si="427"/>
        <v>0</v>
      </c>
      <c r="O1420" s="402">
        <f t="shared" si="428"/>
        <v>0</v>
      </c>
      <c r="P1420" s="403"/>
      <c r="Q1420" s="464"/>
      <c r="R1420" s="464"/>
      <c r="S1420" s="402">
        <f t="shared" si="429"/>
        <v>0</v>
      </c>
      <c r="T1420" s="404">
        <f t="shared" si="422"/>
        <v>0</v>
      </c>
      <c r="U1420" s="403"/>
      <c r="V1420" s="160" t="str">
        <f>IF(T1417&gt;0,"xx",IF(O1417&gt;0,"xy",""))</f>
        <v/>
      </c>
      <c r="W1420" s="43" t="str">
        <f t="shared" si="412"/>
        <v/>
      </c>
      <c r="X1420" s="43" t="str">
        <f t="shared" si="424"/>
        <v/>
      </c>
      <c r="Y1420" s="43" t="str">
        <f t="shared" si="418"/>
        <v/>
      </c>
    </row>
    <row r="1421" spans="1:25" hidden="1">
      <c r="A1421" s="155" t="s">
        <v>183</v>
      </c>
      <c r="B1421" s="156"/>
      <c r="C1421" s="411" t="s">
        <v>511</v>
      </c>
      <c r="D1421" s="351"/>
      <c r="E1421" s="405">
        <v>30</v>
      </c>
      <c r="F1421" s="406">
        <f>VLOOKUP(C1417,'ENSAIOS DE ORÇAMENTO'!$C$3:$L$79,3,FALSE)</f>
        <v>0</v>
      </c>
      <c r="G1421" s="158">
        <f t="shared" si="431"/>
        <v>0</v>
      </c>
      <c r="H1421" s="465"/>
      <c r="I1421" s="465"/>
      <c r="J1421" s="407">
        <f t="shared" si="416"/>
        <v>0</v>
      </c>
      <c r="K1421" s="408"/>
      <c r="L1421" s="152">
        <v>0</v>
      </c>
      <c r="M1421" s="213"/>
      <c r="N1421" s="402">
        <f t="shared" si="427"/>
        <v>0</v>
      </c>
      <c r="O1421" s="402">
        <f t="shared" si="428"/>
        <v>0</v>
      </c>
      <c r="P1421" s="403"/>
      <c r="Q1421" s="464"/>
      <c r="R1421" s="464"/>
      <c r="S1421" s="402">
        <f t="shared" si="429"/>
        <v>0</v>
      </c>
      <c r="T1421" s="404">
        <f t="shared" si="422"/>
        <v>0</v>
      </c>
      <c r="U1421" s="403"/>
      <c r="V1421" s="160" t="str">
        <f>IF(T1417&gt;0,"xx",IF(O1417&gt;0,"xy",""))</f>
        <v/>
      </c>
      <c r="W1421" s="43" t="str">
        <f t="shared" si="412"/>
        <v/>
      </c>
      <c r="X1421" s="43" t="str">
        <f t="shared" si="424"/>
        <v/>
      </c>
      <c r="Y1421" s="43" t="str">
        <f t="shared" si="418"/>
        <v/>
      </c>
    </row>
    <row r="1422" spans="1:25" hidden="1">
      <c r="A1422" s="155" t="s">
        <v>183</v>
      </c>
      <c r="B1422" s="156"/>
      <c r="C1422" s="411" t="s">
        <v>512</v>
      </c>
      <c r="D1422" s="351"/>
      <c r="E1422" s="405">
        <v>500</v>
      </c>
      <c r="F1422" s="406">
        <f>VLOOKUP(C1417,'ENSAIOS DE ORÇAMENTO'!$C$3:$L$79,10,FALSE)</f>
        <v>0</v>
      </c>
      <c r="G1422" s="158">
        <f t="shared" ref="G1422" si="432">IF(E1422&lt;=30,(0.42*E1422+3.55)*F1422,((0.42*30+3.55)+0.35*(E1422-30))*F1422)</f>
        <v>0</v>
      </c>
      <c r="H1422" s="465"/>
      <c r="I1422" s="465"/>
      <c r="J1422" s="407">
        <f t="shared" si="416"/>
        <v>0</v>
      </c>
      <c r="K1422" s="408"/>
      <c r="L1422" s="152">
        <v>0</v>
      </c>
      <c r="M1422" s="213"/>
      <c r="N1422" s="402">
        <f t="shared" si="427"/>
        <v>0</v>
      </c>
      <c r="O1422" s="402">
        <f t="shared" si="428"/>
        <v>0</v>
      </c>
      <c r="P1422" s="403"/>
      <c r="Q1422" s="464"/>
      <c r="R1422" s="464"/>
      <c r="S1422" s="402">
        <f t="shared" si="429"/>
        <v>0</v>
      </c>
      <c r="T1422" s="404">
        <f t="shared" si="422"/>
        <v>0</v>
      </c>
      <c r="U1422" s="403"/>
      <c r="V1422" s="160" t="str">
        <f>IF(T1417&gt;0,"xx",IF(O1417&gt;0,"xy",""))</f>
        <v/>
      </c>
      <c r="W1422" s="43" t="str">
        <f t="shared" si="412"/>
        <v/>
      </c>
      <c r="X1422" s="43" t="str">
        <f t="shared" si="424"/>
        <v/>
      </c>
      <c r="Y1422" s="43" t="str">
        <f t="shared" si="418"/>
        <v/>
      </c>
    </row>
    <row r="1423" spans="1:25" hidden="1">
      <c r="A1423" s="155" t="s">
        <v>130</v>
      </c>
      <c r="B1423" s="156" t="s">
        <v>242</v>
      </c>
      <c r="C1423" s="411" t="s">
        <v>519</v>
      </c>
      <c r="D1423" s="351"/>
      <c r="E1423" s="405"/>
      <c r="F1423" s="406"/>
      <c r="G1423" s="158">
        <f>SUM(G1424:G1428)</f>
        <v>681.09453899999994</v>
      </c>
      <c r="H1423" s="465">
        <f>VLOOKUP(C1423,'ENSAIOS DE ORÇAMENTO'!$C$3:$L$79,8,FALSE)</f>
        <v>2138.6060159999997</v>
      </c>
      <c r="I1423" s="465">
        <f>IF(ISBLANK(H1423),"",SUM(G1423:H1423))*0.95</f>
        <v>2678.7155272499995</v>
      </c>
      <c r="J1423" s="407">
        <f t="shared" si="416"/>
        <v>3396.61</v>
      </c>
      <c r="K1423" s="408" t="s">
        <v>23</v>
      </c>
      <c r="L1423" s="152">
        <v>0</v>
      </c>
      <c r="M1423" s="152"/>
      <c r="N1423" s="402">
        <f t="shared" si="427"/>
        <v>0</v>
      </c>
      <c r="O1423" s="402">
        <f t="shared" si="428"/>
        <v>0</v>
      </c>
      <c r="P1423" s="403"/>
      <c r="Q1423" s="152">
        <f t="shared" si="406"/>
        <v>0</v>
      </c>
      <c r="R1423" s="152">
        <f t="shared" si="406"/>
        <v>0</v>
      </c>
      <c r="S1423" s="402">
        <f t="shared" si="429"/>
        <v>0</v>
      </c>
      <c r="T1423" s="404">
        <f t="shared" si="422"/>
        <v>0</v>
      </c>
      <c r="U1423" s="403"/>
      <c r="W1423" s="43" t="str">
        <f t="shared" si="412"/>
        <v/>
      </c>
      <c r="X1423" s="43" t="str">
        <f t="shared" si="424"/>
        <v/>
      </c>
      <c r="Y1423" s="43" t="str">
        <f t="shared" si="418"/>
        <v/>
      </c>
    </row>
    <row r="1424" spans="1:25" hidden="1">
      <c r="A1424" s="155" t="s">
        <v>183</v>
      </c>
      <c r="B1424" s="156"/>
      <c r="C1424" s="411" t="s">
        <v>251</v>
      </c>
      <c r="D1424" s="351"/>
      <c r="E1424" s="405">
        <v>500</v>
      </c>
      <c r="F1424" s="406">
        <f>VLOOKUP(C1423,'ENSAIOS DE ORÇAMENTO'!$C$3:$L$79,4,FALSE)</f>
        <v>1.3717999999999999</v>
      </c>
      <c r="G1424" s="158">
        <f>IF(E1424&lt;=30,(0.42*E1424+3.55)*F1424,((0.42*30+3.55)+0.35*(E1424-30))*F1424)</f>
        <v>247.81566999999998</v>
      </c>
      <c r="H1424" s="465"/>
      <c r="I1424" s="465"/>
      <c r="J1424" s="407">
        <f t="shared" si="416"/>
        <v>0</v>
      </c>
      <c r="K1424" s="408"/>
      <c r="L1424" s="152">
        <v>0</v>
      </c>
      <c r="M1424" s="213"/>
      <c r="N1424" s="402">
        <f t="shared" si="427"/>
        <v>0</v>
      </c>
      <c r="O1424" s="402">
        <f t="shared" si="428"/>
        <v>0</v>
      </c>
      <c r="P1424" s="403"/>
      <c r="Q1424" s="464"/>
      <c r="R1424" s="464"/>
      <c r="S1424" s="402">
        <f t="shared" si="429"/>
        <v>0</v>
      </c>
      <c r="T1424" s="404">
        <f t="shared" si="422"/>
        <v>0</v>
      </c>
      <c r="U1424" s="403"/>
      <c r="V1424" s="160" t="str">
        <f>IF(T1423&gt;0,"xx",IF(O1423&gt;0,"xy",""))</f>
        <v/>
      </c>
      <c r="W1424" s="43" t="str">
        <f t="shared" si="412"/>
        <v/>
      </c>
      <c r="X1424" s="43" t="str">
        <f t="shared" si="424"/>
        <v/>
      </c>
      <c r="Y1424" s="43" t="str">
        <f t="shared" si="418"/>
        <v/>
      </c>
    </row>
    <row r="1425" spans="1:25" hidden="1">
      <c r="A1425" s="155" t="s">
        <v>183</v>
      </c>
      <c r="B1425" s="156"/>
      <c r="C1425" s="411" t="s">
        <v>314</v>
      </c>
      <c r="D1425" s="351"/>
      <c r="E1425" s="405">
        <v>180</v>
      </c>
      <c r="F1425" s="406">
        <f>VLOOKUP(C1423,'ENSAIOS DE ORÇAMENTO'!$C$3:$L$79,5,FALSE)</f>
        <v>3.9353559999999996</v>
      </c>
      <c r="G1425" s="158">
        <f t="shared" ref="G1425:G1427" si="433">IF(E1425&lt;=30,(0.6*E1425+1.25)*F1425,((0.6*30+1.25)+0.5*(E1425-30))*F1425)</f>
        <v>370.90730299999996</v>
      </c>
      <c r="H1425" s="465"/>
      <c r="I1425" s="465"/>
      <c r="J1425" s="407">
        <f t="shared" si="416"/>
        <v>0</v>
      </c>
      <c r="K1425" s="408"/>
      <c r="L1425" s="152">
        <v>0</v>
      </c>
      <c r="M1425" s="213"/>
      <c r="N1425" s="402">
        <f t="shared" si="427"/>
        <v>0</v>
      </c>
      <c r="O1425" s="402">
        <f t="shared" si="428"/>
        <v>0</v>
      </c>
      <c r="P1425" s="403"/>
      <c r="Q1425" s="464"/>
      <c r="R1425" s="464"/>
      <c r="S1425" s="402">
        <f t="shared" si="429"/>
        <v>0</v>
      </c>
      <c r="T1425" s="404">
        <f t="shared" si="422"/>
        <v>0</v>
      </c>
      <c r="U1425" s="403"/>
      <c r="V1425" s="160" t="str">
        <f>IF(T1423&gt;0,"xx",IF(O1423&gt;0,"xy",""))</f>
        <v/>
      </c>
      <c r="W1425" s="43" t="str">
        <f t="shared" si="412"/>
        <v/>
      </c>
      <c r="X1425" s="43" t="str">
        <f t="shared" si="424"/>
        <v/>
      </c>
      <c r="Y1425" s="43" t="str">
        <f t="shared" si="418"/>
        <v/>
      </c>
    </row>
    <row r="1426" spans="1:25" hidden="1">
      <c r="A1426" s="155" t="s">
        <v>183</v>
      </c>
      <c r="B1426" s="156"/>
      <c r="C1426" s="411" t="s">
        <v>323</v>
      </c>
      <c r="D1426" s="351"/>
      <c r="E1426" s="405">
        <v>20</v>
      </c>
      <c r="F1426" s="406">
        <f>VLOOKUP(C1423,'ENSAIOS DE ORÇAMENTO'!$C$3:$L$79,6,FALSE)</f>
        <v>4.7072880000000001</v>
      </c>
      <c r="G1426" s="158">
        <f t="shared" si="433"/>
        <v>62.371566000000001</v>
      </c>
      <c r="H1426" s="465"/>
      <c r="I1426" s="465"/>
      <c r="J1426" s="407">
        <f t="shared" si="416"/>
        <v>0</v>
      </c>
      <c r="K1426" s="408"/>
      <c r="L1426" s="152">
        <v>0</v>
      </c>
      <c r="M1426" s="213"/>
      <c r="N1426" s="402">
        <f t="shared" si="427"/>
        <v>0</v>
      </c>
      <c r="O1426" s="402">
        <f t="shared" si="428"/>
        <v>0</v>
      </c>
      <c r="P1426" s="403"/>
      <c r="Q1426" s="464"/>
      <c r="R1426" s="464"/>
      <c r="S1426" s="402">
        <f t="shared" si="429"/>
        <v>0</v>
      </c>
      <c r="T1426" s="404">
        <f t="shared" si="422"/>
        <v>0</v>
      </c>
      <c r="U1426" s="403"/>
      <c r="V1426" s="160" t="str">
        <f>IF(T1423&gt;0,"xx",IF(O1423&gt;0,"xy",""))</f>
        <v/>
      </c>
      <c r="W1426" s="43" t="str">
        <f t="shared" si="412"/>
        <v/>
      </c>
      <c r="X1426" s="43" t="str">
        <f t="shared" si="424"/>
        <v/>
      </c>
      <c r="Y1426" s="43" t="str">
        <f t="shared" si="418"/>
        <v/>
      </c>
    </row>
    <row r="1427" spans="1:25" hidden="1">
      <c r="A1427" s="155" t="s">
        <v>183</v>
      </c>
      <c r="B1427" s="156"/>
      <c r="C1427" s="411" t="s">
        <v>511</v>
      </c>
      <c r="D1427" s="351"/>
      <c r="E1427" s="405">
        <v>30</v>
      </c>
      <c r="F1427" s="406">
        <f>VLOOKUP(C1423,'ENSAIOS DE ORÇAMENTO'!$C$3:$L$79,3,FALSE)</f>
        <v>0</v>
      </c>
      <c r="G1427" s="158">
        <f t="shared" si="433"/>
        <v>0</v>
      </c>
      <c r="H1427" s="465"/>
      <c r="I1427" s="465"/>
      <c r="J1427" s="407">
        <f t="shared" si="416"/>
        <v>0</v>
      </c>
      <c r="K1427" s="408"/>
      <c r="L1427" s="152">
        <v>0</v>
      </c>
      <c r="M1427" s="213"/>
      <c r="N1427" s="402">
        <f t="shared" si="427"/>
        <v>0</v>
      </c>
      <c r="O1427" s="402">
        <f t="shared" si="428"/>
        <v>0</v>
      </c>
      <c r="P1427" s="403"/>
      <c r="Q1427" s="464"/>
      <c r="R1427" s="464"/>
      <c r="S1427" s="402">
        <f t="shared" si="429"/>
        <v>0</v>
      </c>
      <c r="T1427" s="404">
        <f t="shared" si="422"/>
        <v>0</v>
      </c>
      <c r="U1427" s="403"/>
      <c r="V1427" s="160" t="str">
        <f>IF(T1423&gt;0,"xx",IF(O1423&gt;0,"xy",""))</f>
        <v/>
      </c>
      <c r="W1427" s="43" t="str">
        <f t="shared" si="412"/>
        <v/>
      </c>
      <c r="X1427" s="43" t="str">
        <f t="shared" si="424"/>
        <v/>
      </c>
      <c r="Y1427" s="43" t="str">
        <f t="shared" si="418"/>
        <v/>
      </c>
    </row>
    <row r="1428" spans="1:25" hidden="1">
      <c r="A1428" s="155" t="s">
        <v>183</v>
      </c>
      <c r="B1428" s="156"/>
      <c r="C1428" s="411" t="s">
        <v>512</v>
      </c>
      <c r="D1428" s="351"/>
      <c r="E1428" s="405">
        <v>500</v>
      </c>
      <c r="F1428" s="406">
        <f>VLOOKUP(C1423,'ENSAIOS DE ORÇAMENTO'!$C$3:$L$79,10,FALSE)</f>
        <v>0</v>
      </c>
      <c r="G1428" s="158">
        <f t="shared" ref="G1428" si="434">IF(E1428&lt;=30,(0.42*E1428+3.55)*F1428,((0.42*30+3.55)+0.35*(E1428-30))*F1428)</f>
        <v>0</v>
      </c>
      <c r="H1428" s="465"/>
      <c r="I1428" s="465"/>
      <c r="J1428" s="407">
        <f t="shared" si="416"/>
        <v>0</v>
      </c>
      <c r="K1428" s="408"/>
      <c r="L1428" s="152">
        <v>0</v>
      </c>
      <c r="M1428" s="213"/>
      <c r="N1428" s="402">
        <f t="shared" si="427"/>
        <v>0</v>
      </c>
      <c r="O1428" s="402">
        <f t="shared" si="428"/>
        <v>0</v>
      </c>
      <c r="P1428" s="403"/>
      <c r="Q1428" s="464"/>
      <c r="R1428" s="464"/>
      <c r="S1428" s="402">
        <f t="shared" si="429"/>
        <v>0</v>
      </c>
      <c r="T1428" s="404">
        <f t="shared" si="422"/>
        <v>0</v>
      </c>
      <c r="U1428" s="403"/>
      <c r="V1428" s="160" t="str">
        <f>IF(T1423&gt;0,"xx",IF(O1423&gt;0,"xy",""))</f>
        <v/>
      </c>
      <c r="W1428" s="43" t="str">
        <f t="shared" si="412"/>
        <v/>
      </c>
      <c r="X1428" s="43" t="str">
        <f t="shared" si="424"/>
        <v/>
      </c>
      <c r="Y1428" s="43" t="str">
        <f t="shared" si="418"/>
        <v/>
      </c>
    </row>
    <row r="1429" spans="1:25" hidden="1">
      <c r="A1429" s="155" t="s">
        <v>131</v>
      </c>
      <c r="B1429" s="156" t="s">
        <v>242</v>
      </c>
      <c r="C1429" s="411" t="s">
        <v>520</v>
      </c>
      <c r="D1429" s="351"/>
      <c r="E1429" s="405"/>
      <c r="F1429" s="406"/>
      <c r="G1429" s="158">
        <f>SUM(G1430:G1434)</f>
        <v>849.47147025000004</v>
      </c>
      <c r="H1429" s="465">
        <f>VLOOKUP(C1429,'ENSAIOS DE ORÇAMENTO'!$C$3:$L$79,8,FALSE)</f>
        <v>2575.7644759999998</v>
      </c>
      <c r="I1429" s="465">
        <f>IF(ISBLANK(H1429),"",SUM(G1429:H1429))*0.95</f>
        <v>3253.9741489374996</v>
      </c>
      <c r="J1429" s="407">
        <f t="shared" si="416"/>
        <v>4126.04</v>
      </c>
      <c r="K1429" s="408" t="s">
        <v>23</v>
      </c>
      <c r="L1429" s="152">
        <v>0</v>
      </c>
      <c r="M1429" s="152"/>
      <c r="N1429" s="402">
        <f t="shared" si="427"/>
        <v>0</v>
      </c>
      <c r="O1429" s="402">
        <f t="shared" si="428"/>
        <v>0</v>
      </c>
      <c r="P1429" s="403"/>
      <c r="Q1429" s="152">
        <f t="shared" si="406"/>
        <v>0</v>
      </c>
      <c r="R1429" s="152">
        <f t="shared" si="406"/>
        <v>0</v>
      </c>
      <c r="S1429" s="402">
        <f t="shared" si="429"/>
        <v>0</v>
      </c>
      <c r="T1429" s="404">
        <f t="shared" si="422"/>
        <v>0</v>
      </c>
      <c r="U1429" s="403"/>
      <c r="W1429" s="43" t="str">
        <f t="shared" si="412"/>
        <v/>
      </c>
      <c r="X1429" s="43" t="str">
        <f t="shared" si="424"/>
        <v/>
      </c>
      <c r="Y1429" s="43" t="str">
        <f t="shared" si="418"/>
        <v/>
      </c>
    </row>
    <row r="1430" spans="1:25" hidden="1">
      <c r="A1430" s="155" t="s">
        <v>183</v>
      </c>
      <c r="B1430" s="156"/>
      <c r="C1430" s="411" t="s">
        <v>251</v>
      </c>
      <c r="D1430" s="351"/>
      <c r="E1430" s="405">
        <v>500</v>
      </c>
      <c r="F1430" s="406">
        <f>VLOOKUP(C1429,'ENSAIOS DE ORÇAMENTO'!$C$3:$L$79,4,FALSE)</f>
        <v>1.7166499999999998</v>
      </c>
      <c r="G1430" s="158">
        <f>IF(E1430&lt;=30,(0.42*E1430+3.55)*F1430,((0.42*30+3.55)+0.35*(E1430-30))*F1430)</f>
        <v>310.11282249999999</v>
      </c>
      <c r="H1430" s="465"/>
      <c r="I1430" s="465"/>
      <c r="J1430" s="407">
        <f t="shared" si="416"/>
        <v>0</v>
      </c>
      <c r="K1430" s="408"/>
      <c r="L1430" s="152">
        <v>0</v>
      </c>
      <c r="M1430" s="213"/>
      <c r="N1430" s="402">
        <f t="shared" si="427"/>
        <v>0</v>
      </c>
      <c r="O1430" s="402">
        <f t="shared" si="428"/>
        <v>0</v>
      </c>
      <c r="P1430" s="403"/>
      <c r="Q1430" s="464"/>
      <c r="R1430" s="464"/>
      <c r="S1430" s="402">
        <f t="shared" si="429"/>
        <v>0</v>
      </c>
      <c r="T1430" s="404">
        <f t="shared" si="422"/>
        <v>0</v>
      </c>
      <c r="U1430" s="403"/>
      <c r="V1430" s="160" t="str">
        <f>IF(T1429&gt;0,"xx",IF(O1429&gt;0,"xy",""))</f>
        <v/>
      </c>
      <c r="W1430" s="43" t="str">
        <f t="shared" si="412"/>
        <v/>
      </c>
      <c r="X1430" s="43" t="str">
        <f t="shared" si="424"/>
        <v/>
      </c>
      <c r="Y1430" s="43" t="str">
        <f t="shared" si="418"/>
        <v/>
      </c>
    </row>
    <row r="1431" spans="1:25" hidden="1">
      <c r="A1431" s="155" t="s">
        <v>183</v>
      </c>
      <c r="B1431" s="156"/>
      <c r="C1431" s="411" t="s">
        <v>314</v>
      </c>
      <c r="D1431" s="351"/>
      <c r="E1431" s="405">
        <v>180</v>
      </c>
      <c r="F1431" s="406">
        <f>VLOOKUP(C1429,'ENSAIOS DE ORÇAMENTO'!$C$3:$L$79,5,FALSE)</f>
        <v>4.8978009999999994</v>
      </c>
      <c r="G1431" s="158">
        <f t="shared" ref="G1431:G1433" si="435">IF(E1431&lt;=30,(0.6*E1431+1.25)*F1431,((0.6*30+1.25)+0.5*(E1431-30))*F1431)</f>
        <v>461.61774424999993</v>
      </c>
      <c r="H1431" s="465"/>
      <c r="I1431" s="465"/>
      <c r="J1431" s="407">
        <f t="shared" si="416"/>
        <v>0</v>
      </c>
      <c r="K1431" s="408"/>
      <c r="L1431" s="152">
        <v>0</v>
      </c>
      <c r="M1431" s="213"/>
      <c r="N1431" s="402">
        <f t="shared" si="427"/>
        <v>0</v>
      </c>
      <c r="O1431" s="402">
        <f t="shared" si="428"/>
        <v>0</v>
      </c>
      <c r="P1431" s="403"/>
      <c r="Q1431" s="464"/>
      <c r="R1431" s="464"/>
      <c r="S1431" s="402">
        <f t="shared" si="429"/>
        <v>0</v>
      </c>
      <c r="T1431" s="404">
        <f t="shared" si="422"/>
        <v>0</v>
      </c>
      <c r="U1431" s="403"/>
      <c r="V1431" s="160" t="str">
        <f>IF(T1429&gt;0,"xx",IF(O1429&gt;0,"xy",""))</f>
        <v/>
      </c>
      <c r="W1431" s="43" t="str">
        <f t="shared" si="412"/>
        <v/>
      </c>
      <c r="X1431" s="43" t="str">
        <f t="shared" si="424"/>
        <v/>
      </c>
      <c r="Y1431" s="43" t="str">
        <f t="shared" si="418"/>
        <v/>
      </c>
    </row>
    <row r="1432" spans="1:25" hidden="1">
      <c r="A1432" s="155" t="s">
        <v>183</v>
      </c>
      <c r="B1432" s="156"/>
      <c r="C1432" s="411" t="s">
        <v>323</v>
      </c>
      <c r="D1432" s="351"/>
      <c r="E1432" s="405">
        <v>20</v>
      </c>
      <c r="F1432" s="406">
        <f>VLOOKUP(C1429,'ENSAIOS DE ORÇAMENTO'!$C$3:$L$79,6,FALSE)</f>
        <v>5.8672380000000004</v>
      </c>
      <c r="G1432" s="158">
        <f t="shared" si="435"/>
        <v>77.740903500000002</v>
      </c>
      <c r="H1432" s="465"/>
      <c r="I1432" s="465"/>
      <c r="J1432" s="407">
        <f t="shared" si="416"/>
        <v>0</v>
      </c>
      <c r="K1432" s="408"/>
      <c r="L1432" s="152">
        <v>0</v>
      </c>
      <c r="M1432" s="213"/>
      <c r="N1432" s="402">
        <f t="shared" si="427"/>
        <v>0</v>
      </c>
      <c r="O1432" s="402">
        <f t="shared" si="428"/>
        <v>0</v>
      </c>
      <c r="P1432" s="403"/>
      <c r="Q1432" s="464"/>
      <c r="R1432" s="464"/>
      <c r="S1432" s="402">
        <f t="shared" si="429"/>
        <v>0</v>
      </c>
      <c r="T1432" s="404">
        <f t="shared" si="422"/>
        <v>0</v>
      </c>
      <c r="U1432" s="403"/>
      <c r="V1432" s="160" t="str">
        <f>IF(T1429&gt;0,"xx",IF(O1429&gt;0,"xy",""))</f>
        <v/>
      </c>
      <c r="W1432" s="43" t="str">
        <f t="shared" si="412"/>
        <v/>
      </c>
      <c r="X1432" s="43" t="str">
        <f t="shared" si="424"/>
        <v/>
      </c>
      <c r="Y1432" s="43" t="str">
        <f t="shared" si="418"/>
        <v/>
      </c>
    </row>
    <row r="1433" spans="1:25" hidden="1">
      <c r="A1433" s="155" t="s">
        <v>183</v>
      </c>
      <c r="B1433" s="156"/>
      <c r="C1433" s="411" t="s">
        <v>511</v>
      </c>
      <c r="D1433" s="351"/>
      <c r="E1433" s="405">
        <v>30</v>
      </c>
      <c r="F1433" s="406">
        <f>VLOOKUP(C1429,'ENSAIOS DE ORÇAMENTO'!$C$3:$L$79,3,FALSE)</f>
        <v>0</v>
      </c>
      <c r="G1433" s="158">
        <f t="shared" si="435"/>
        <v>0</v>
      </c>
      <c r="H1433" s="465"/>
      <c r="I1433" s="465"/>
      <c r="J1433" s="407">
        <f t="shared" si="416"/>
        <v>0</v>
      </c>
      <c r="K1433" s="408"/>
      <c r="L1433" s="152">
        <v>0</v>
      </c>
      <c r="M1433" s="213"/>
      <c r="N1433" s="402">
        <f t="shared" si="427"/>
        <v>0</v>
      </c>
      <c r="O1433" s="402">
        <f t="shared" si="428"/>
        <v>0</v>
      </c>
      <c r="P1433" s="403"/>
      <c r="Q1433" s="464"/>
      <c r="R1433" s="464"/>
      <c r="S1433" s="402">
        <f t="shared" si="429"/>
        <v>0</v>
      </c>
      <c r="T1433" s="404">
        <f t="shared" si="422"/>
        <v>0</v>
      </c>
      <c r="U1433" s="403"/>
      <c r="V1433" s="160" t="str">
        <f>IF(T1429&gt;0,"xx",IF(O1429&gt;0,"xy",""))</f>
        <v/>
      </c>
      <c r="W1433" s="43" t="str">
        <f t="shared" si="412"/>
        <v/>
      </c>
      <c r="X1433" s="43" t="str">
        <f t="shared" si="424"/>
        <v/>
      </c>
      <c r="Y1433" s="43" t="str">
        <f t="shared" si="418"/>
        <v/>
      </c>
    </row>
    <row r="1434" spans="1:25" hidden="1">
      <c r="A1434" s="155" t="s">
        <v>183</v>
      </c>
      <c r="B1434" s="156"/>
      <c r="C1434" s="411" t="s">
        <v>512</v>
      </c>
      <c r="D1434" s="351"/>
      <c r="E1434" s="405">
        <v>500</v>
      </c>
      <c r="F1434" s="406">
        <f>VLOOKUP(C1429,'ENSAIOS DE ORÇAMENTO'!$C$3:$L$79,10,FALSE)</f>
        <v>0</v>
      </c>
      <c r="G1434" s="158">
        <f t="shared" ref="G1434" si="436">IF(E1434&lt;=30,(0.42*E1434+3.55)*F1434,((0.42*30+3.55)+0.35*(E1434-30))*F1434)</f>
        <v>0</v>
      </c>
      <c r="H1434" s="465"/>
      <c r="I1434" s="465"/>
      <c r="J1434" s="407">
        <f t="shared" si="416"/>
        <v>0</v>
      </c>
      <c r="K1434" s="408"/>
      <c r="L1434" s="152">
        <v>0</v>
      </c>
      <c r="M1434" s="213"/>
      <c r="N1434" s="402">
        <f t="shared" si="427"/>
        <v>0</v>
      </c>
      <c r="O1434" s="402">
        <f t="shared" si="428"/>
        <v>0</v>
      </c>
      <c r="P1434" s="403"/>
      <c r="Q1434" s="464"/>
      <c r="R1434" s="464"/>
      <c r="S1434" s="402">
        <f t="shared" si="429"/>
        <v>0</v>
      </c>
      <c r="T1434" s="404">
        <f t="shared" si="422"/>
        <v>0</v>
      </c>
      <c r="U1434" s="403"/>
      <c r="V1434" s="160" t="str">
        <f>IF(T1429&gt;0,"xx",IF(O1429&gt;0,"xy",""))</f>
        <v/>
      </c>
      <c r="W1434" s="43" t="str">
        <f t="shared" si="412"/>
        <v/>
      </c>
      <c r="X1434" s="43" t="str">
        <f t="shared" si="424"/>
        <v/>
      </c>
      <c r="Y1434" s="43" t="str">
        <f t="shared" si="418"/>
        <v/>
      </c>
    </row>
    <row r="1435" spans="1:25" hidden="1">
      <c r="A1435" s="155" t="s">
        <v>37</v>
      </c>
      <c r="B1435" s="156" t="s">
        <v>242</v>
      </c>
      <c r="C1435" s="411" t="s">
        <v>121</v>
      </c>
      <c r="D1435" s="351"/>
      <c r="E1435" s="405"/>
      <c r="F1435" s="406"/>
      <c r="G1435" s="158">
        <f>SUM(G1436:G1440)</f>
        <v>196.66152825</v>
      </c>
      <c r="H1435" s="465">
        <f>VLOOKUP(C1435,'ENSAIOS DE ORÇAMENTO'!$C$3:$L$79,8,FALSE)</f>
        <v>2180.1207879999997</v>
      </c>
      <c r="I1435" s="465">
        <f>IF(ISBLANK(H1435),"",SUM(G1435:H1435))</f>
        <v>2376.7823162499999</v>
      </c>
      <c r="J1435" s="407">
        <f t="shared" si="416"/>
        <v>3013.76</v>
      </c>
      <c r="K1435" s="408" t="s">
        <v>23</v>
      </c>
      <c r="L1435" s="152">
        <v>0</v>
      </c>
      <c r="M1435" s="152"/>
      <c r="N1435" s="402">
        <f t="shared" si="427"/>
        <v>0</v>
      </c>
      <c r="O1435" s="402">
        <f t="shared" si="428"/>
        <v>0</v>
      </c>
      <c r="P1435" s="403"/>
      <c r="Q1435" s="152">
        <f t="shared" ref="Q1435:R1489" si="437">L1435</f>
        <v>0</v>
      </c>
      <c r="R1435" s="152">
        <f t="shared" si="437"/>
        <v>0</v>
      </c>
      <c r="S1435" s="402">
        <f t="shared" si="429"/>
        <v>0</v>
      </c>
      <c r="T1435" s="404">
        <f t="shared" si="422"/>
        <v>0</v>
      </c>
      <c r="U1435" s="403"/>
      <c r="W1435" s="43" t="str">
        <f t="shared" si="412"/>
        <v/>
      </c>
      <c r="X1435" s="43" t="str">
        <f t="shared" si="424"/>
        <v/>
      </c>
      <c r="Y1435" s="43" t="str">
        <f t="shared" si="418"/>
        <v/>
      </c>
    </row>
    <row r="1436" spans="1:25" hidden="1">
      <c r="A1436" s="155" t="s">
        <v>183</v>
      </c>
      <c r="B1436" s="156"/>
      <c r="C1436" s="411" t="s">
        <v>251</v>
      </c>
      <c r="D1436" s="351"/>
      <c r="E1436" s="405">
        <v>500</v>
      </c>
      <c r="F1436" s="406">
        <f>VLOOKUP(C1435,'ENSAIOS DE ORÇAMENTO'!$C$3:$L$79,4,FALSE)</f>
        <v>0.39121000000000006</v>
      </c>
      <c r="G1436" s="158">
        <f>IF(E1436&lt;=30,(0.42*E1436+3.55)*F1436,((0.42*30+3.55)+0.35*(E1436-30))*F1436)</f>
        <v>70.672086500000006</v>
      </c>
      <c r="H1436" s="465"/>
      <c r="I1436" s="465"/>
      <c r="J1436" s="407">
        <f t="shared" si="416"/>
        <v>0</v>
      </c>
      <c r="K1436" s="408"/>
      <c r="L1436" s="152">
        <v>0</v>
      </c>
      <c r="M1436" s="213"/>
      <c r="N1436" s="402">
        <f t="shared" si="427"/>
        <v>0</v>
      </c>
      <c r="O1436" s="402">
        <f t="shared" si="428"/>
        <v>0</v>
      </c>
      <c r="P1436" s="403"/>
      <c r="Q1436" s="464"/>
      <c r="R1436" s="464"/>
      <c r="S1436" s="402">
        <f t="shared" si="429"/>
        <v>0</v>
      </c>
      <c r="T1436" s="404">
        <f t="shared" si="422"/>
        <v>0</v>
      </c>
      <c r="U1436" s="403"/>
      <c r="V1436" s="160" t="str">
        <f>IF(T1435&gt;0,"xx",IF(O1435&gt;0,"xy",""))</f>
        <v/>
      </c>
      <c r="W1436" s="43" t="str">
        <f t="shared" si="412"/>
        <v/>
      </c>
      <c r="X1436" s="43" t="str">
        <f t="shared" si="424"/>
        <v/>
      </c>
      <c r="Y1436" s="43" t="str">
        <f t="shared" si="418"/>
        <v/>
      </c>
    </row>
    <row r="1437" spans="1:25" hidden="1">
      <c r="A1437" s="155" t="s">
        <v>183</v>
      </c>
      <c r="B1437" s="156"/>
      <c r="C1437" s="411" t="s">
        <v>314</v>
      </c>
      <c r="D1437" s="351"/>
      <c r="E1437" s="405">
        <v>180</v>
      </c>
      <c r="F1437" s="406">
        <f>VLOOKUP(C1435,'ENSAIOS DE ORÇAMENTO'!$C$3:$L$79,5,FALSE)</f>
        <v>1.1452249999999999</v>
      </c>
      <c r="G1437" s="158">
        <f t="shared" ref="G1437:G1439" si="438">IF(E1437&lt;=30,(0.6*E1437+1.25)*F1437,((0.6*30+1.25)+0.5*(E1437-30))*F1437)</f>
        <v>107.93745625</v>
      </c>
      <c r="H1437" s="465"/>
      <c r="I1437" s="465"/>
      <c r="J1437" s="407">
        <f t="shared" si="416"/>
        <v>0</v>
      </c>
      <c r="K1437" s="408"/>
      <c r="L1437" s="152">
        <v>0</v>
      </c>
      <c r="M1437" s="213"/>
      <c r="N1437" s="402">
        <f t="shared" si="427"/>
        <v>0</v>
      </c>
      <c r="O1437" s="402">
        <f t="shared" si="428"/>
        <v>0</v>
      </c>
      <c r="P1437" s="403"/>
      <c r="Q1437" s="464"/>
      <c r="R1437" s="464"/>
      <c r="S1437" s="402">
        <f t="shared" si="429"/>
        <v>0</v>
      </c>
      <c r="T1437" s="404">
        <f t="shared" si="422"/>
        <v>0</v>
      </c>
      <c r="U1437" s="403"/>
      <c r="V1437" s="160" t="str">
        <f>IF(T1435&gt;0,"xx",IF(O1435&gt;0,"xy",""))</f>
        <v/>
      </c>
      <c r="W1437" s="43" t="str">
        <f t="shared" si="412"/>
        <v/>
      </c>
      <c r="X1437" s="43" t="str">
        <f t="shared" si="424"/>
        <v/>
      </c>
      <c r="Y1437" s="43" t="str">
        <f t="shared" si="418"/>
        <v/>
      </c>
    </row>
    <row r="1438" spans="1:25" hidden="1">
      <c r="A1438" s="155" t="s">
        <v>183</v>
      </c>
      <c r="B1438" s="156"/>
      <c r="C1438" s="411" t="s">
        <v>323</v>
      </c>
      <c r="D1438" s="351"/>
      <c r="E1438" s="405">
        <v>20</v>
      </c>
      <c r="F1438" s="406">
        <f>VLOOKUP(C1435,'ENSAIOS DE ORÇAMENTO'!$C$3:$L$79,6,FALSE)</f>
        <v>1.362414</v>
      </c>
      <c r="G1438" s="158">
        <f t="shared" si="438"/>
        <v>18.051985500000001</v>
      </c>
      <c r="H1438" s="465"/>
      <c r="I1438" s="465"/>
      <c r="J1438" s="407">
        <f t="shared" si="416"/>
        <v>0</v>
      </c>
      <c r="K1438" s="408"/>
      <c r="L1438" s="152">
        <v>0</v>
      </c>
      <c r="M1438" s="213"/>
      <c r="N1438" s="402">
        <f t="shared" si="427"/>
        <v>0</v>
      </c>
      <c r="O1438" s="402">
        <f t="shared" si="428"/>
        <v>0</v>
      </c>
      <c r="P1438" s="403"/>
      <c r="Q1438" s="464"/>
      <c r="R1438" s="464"/>
      <c r="S1438" s="402">
        <f t="shared" si="429"/>
        <v>0</v>
      </c>
      <c r="T1438" s="404">
        <f t="shared" si="422"/>
        <v>0</v>
      </c>
      <c r="U1438" s="403"/>
      <c r="V1438" s="160" t="str">
        <f>IF(T1435&gt;0,"xx",IF(O1435&gt;0,"xy",""))</f>
        <v/>
      </c>
      <c r="W1438" s="43" t="str">
        <f t="shared" si="412"/>
        <v/>
      </c>
      <c r="X1438" s="43" t="str">
        <f t="shared" si="424"/>
        <v/>
      </c>
      <c r="Y1438" s="43" t="str">
        <f t="shared" si="418"/>
        <v/>
      </c>
    </row>
    <row r="1439" spans="1:25" hidden="1">
      <c r="A1439" s="155" t="s">
        <v>183</v>
      </c>
      <c r="B1439" s="156"/>
      <c r="C1439" s="411" t="s">
        <v>511</v>
      </c>
      <c r="D1439" s="351"/>
      <c r="E1439" s="405">
        <v>30</v>
      </c>
      <c r="F1439" s="406">
        <f>VLOOKUP(C1435,'ENSAIOS DE ORÇAMENTO'!$C$3:$L$79,3,FALSE)</f>
        <v>0</v>
      </c>
      <c r="G1439" s="158">
        <f t="shared" si="438"/>
        <v>0</v>
      </c>
      <c r="H1439" s="465"/>
      <c r="I1439" s="465"/>
      <c r="J1439" s="407">
        <f t="shared" si="416"/>
        <v>0</v>
      </c>
      <c r="K1439" s="408"/>
      <c r="L1439" s="152">
        <v>0</v>
      </c>
      <c r="M1439" s="213"/>
      <c r="N1439" s="402">
        <f t="shared" si="427"/>
        <v>0</v>
      </c>
      <c r="O1439" s="402">
        <f t="shared" si="428"/>
        <v>0</v>
      </c>
      <c r="P1439" s="403"/>
      <c r="Q1439" s="464"/>
      <c r="R1439" s="464"/>
      <c r="S1439" s="402">
        <f t="shared" si="429"/>
        <v>0</v>
      </c>
      <c r="T1439" s="404">
        <f t="shared" si="422"/>
        <v>0</v>
      </c>
      <c r="U1439" s="403"/>
      <c r="V1439" s="160" t="str">
        <f>IF(T1435&gt;0,"xx",IF(O1435&gt;0,"xy",""))</f>
        <v/>
      </c>
      <c r="W1439" s="43" t="str">
        <f t="shared" si="412"/>
        <v/>
      </c>
      <c r="X1439" s="43" t="str">
        <f t="shared" si="424"/>
        <v/>
      </c>
      <c r="Y1439" s="43" t="str">
        <f t="shared" si="418"/>
        <v/>
      </c>
    </row>
    <row r="1440" spans="1:25" hidden="1">
      <c r="A1440" s="155" t="s">
        <v>183</v>
      </c>
      <c r="B1440" s="156"/>
      <c r="C1440" s="411" t="s">
        <v>512</v>
      </c>
      <c r="D1440" s="351"/>
      <c r="E1440" s="405">
        <v>500</v>
      </c>
      <c r="F1440" s="406">
        <f>VLOOKUP(C1435,'ENSAIOS DE ORÇAMENTO'!$C$3:$L$79,10,FALSE)</f>
        <v>0</v>
      </c>
      <c r="G1440" s="158">
        <f t="shared" ref="G1440" si="439">IF(E1440&lt;=30,(0.42*E1440+3.55)*F1440,((0.42*30+3.55)+0.35*(E1440-30))*F1440)</f>
        <v>0</v>
      </c>
      <c r="H1440" s="465"/>
      <c r="I1440" s="465"/>
      <c r="J1440" s="407">
        <f t="shared" si="416"/>
        <v>0</v>
      </c>
      <c r="K1440" s="408"/>
      <c r="L1440" s="152">
        <v>0</v>
      </c>
      <c r="M1440" s="213"/>
      <c r="N1440" s="402">
        <f t="shared" si="427"/>
        <v>0</v>
      </c>
      <c r="O1440" s="402">
        <f t="shared" si="428"/>
        <v>0</v>
      </c>
      <c r="P1440" s="403"/>
      <c r="Q1440" s="464"/>
      <c r="R1440" s="464"/>
      <c r="S1440" s="402">
        <f t="shared" si="429"/>
        <v>0</v>
      </c>
      <c r="T1440" s="404">
        <f t="shared" si="422"/>
        <v>0</v>
      </c>
      <c r="U1440" s="403"/>
      <c r="V1440" s="160" t="str">
        <f>IF(T1435&gt;0,"xx",IF(O1435&gt;0,"xy",""))</f>
        <v/>
      </c>
      <c r="W1440" s="43" t="str">
        <f t="shared" si="412"/>
        <v/>
      </c>
      <c r="X1440" s="43" t="str">
        <f t="shared" si="424"/>
        <v/>
      </c>
      <c r="Y1440" s="43" t="str">
        <f t="shared" si="418"/>
        <v/>
      </c>
    </row>
    <row r="1441" spans="1:25" hidden="1">
      <c r="A1441" s="155" t="s">
        <v>38</v>
      </c>
      <c r="B1441" s="156" t="s">
        <v>242</v>
      </c>
      <c r="C1441" s="411" t="s">
        <v>118</v>
      </c>
      <c r="D1441" s="351"/>
      <c r="E1441" s="405"/>
      <c r="F1441" s="406"/>
      <c r="G1441" s="158">
        <f>SUM(G1442:G1446)</f>
        <v>245.64390824999998</v>
      </c>
      <c r="H1441" s="465">
        <f>VLOOKUP(C1441,'ENSAIOS DE ORÇAMENTO'!$C$3:$L$79,8,FALSE)</f>
        <v>2644.1585479999999</v>
      </c>
      <c r="I1441" s="465">
        <f>IF(ISBLANK(H1441),"",SUM(G1441:H1441))</f>
        <v>2889.80245625</v>
      </c>
      <c r="J1441" s="407">
        <f t="shared" si="416"/>
        <v>3664.27</v>
      </c>
      <c r="K1441" s="408" t="s">
        <v>23</v>
      </c>
      <c r="L1441" s="152">
        <v>0</v>
      </c>
      <c r="M1441" s="152"/>
      <c r="N1441" s="402">
        <f t="shared" si="427"/>
        <v>0</v>
      </c>
      <c r="O1441" s="402">
        <f t="shared" si="428"/>
        <v>0</v>
      </c>
      <c r="P1441" s="403"/>
      <c r="Q1441" s="152">
        <f t="shared" si="437"/>
        <v>0</v>
      </c>
      <c r="R1441" s="152">
        <f t="shared" si="437"/>
        <v>0</v>
      </c>
      <c r="S1441" s="402">
        <f t="shared" si="429"/>
        <v>0</v>
      </c>
      <c r="T1441" s="404">
        <f t="shared" si="422"/>
        <v>0</v>
      </c>
      <c r="U1441" s="403"/>
      <c r="W1441" s="43" t="str">
        <f t="shared" si="412"/>
        <v/>
      </c>
      <c r="X1441" s="43" t="str">
        <f t="shared" si="424"/>
        <v/>
      </c>
      <c r="Y1441" s="43" t="str">
        <f t="shared" si="418"/>
        <v/>
      </c>
    </row>
    <row r="1442" spans="1:25" hidden="1">
      <c r="A1442" s="155" t="s">
        <v>183</v>
      </c>
      <c r="B1442" s="156"/>
      <c r="C1442" s="411" t="s">
        <v>251</v>
      </c>
      <c r="D1442" s="351"/>
      <c r="E1442" s="405">
        <v>500</v>
      </c>
      <c r="F1442" s="406">
        <f>VLOOKUP(C1441,'ENSAIOS DE ORÇAMENTO'!$C$3:$L$79,4,FALSE)</f>
        <v>0.49152999999999997</v>
      </c>
      <c r="G1442" s="158">
        <f>IF(E1442&lt;=30,(0.42*E1442+3.55)*F1442,((0.42*30+3.55)+0.35*(E1442-30))*F1442)</f>
        <v>88.794894499999998</v>
      </c>
      <c r="H1442" s="465"/>
      <c r="I1442" s="465"/>
      <c r="J1442" s="407">
        <f t="shared" si="416"/>
        <v>0</v>
      </c>
      <c r="K1442" s="408"/>
      <c r="L1442" s="152">
        <v>0</v>
      </c>
      <c r="M1442" s="213"/>
      <c r="N1442" s="402">
        <f t="shared" si="427"/>
        <v>0</v>
      </c>
      <c r="O1442" s="402">
        <f t="shared" si="428"/>
        <v>0</v>
      </c>
      <c r="P1442" s="403"/>
      <c r="Q1442" s="464"/>
      <c r="R1442" s="464"/>
      <c r="S1442" s="402">
        <f t="shared" si="429"/>
        <v>0</v>
      </c>
      <c r="T1442" s="404">
        <f t="shared" si="422"/>
        <v>0</v>
      </c>
      <c r="U1442" s="403"/>
      <c r="V1442" s="160" t="str">
        <f>IF(T1441&gt;0,"xx",IF(O1441&gt;0,"xy",""))</f>
        <v/>
      </c>
      <c r="W1442" s="43" t="str">
        <f t="shared" si="412"/>
        <v/>
      </c>
      <c r="X1442" s="43" t="str">
        <f t="shared" si="424"/>
        <v/>
      </c>
      <c r="Y1442" s="43" t="str">
        <f t="shared" si="418"/>
        <v/>
      </c>
    </row>
    <row r="1443" spans="1:25" hidden="1">
      <c r="A1443" s="155" t="s">
        <v>183</v>
      </c>
      <c r="B1443" s="156"/>
      <c r="C1443" s="411" t="s">
        <v>314</v>
      </c>
      <c r="D1443" s="351"/>
      <c r="E1443" s="405">
        <v>180</v>
      </c>
      <c r="F1443" s="406">
        <f>VLOOKUP(C1441,'ENSAIOS DE ORÇAMENTO'!$C$3:$L$79,5,FALSE)</f>
        <v>1.4252089999999999</v>
      </c>
      <c r="G1443" s="158">
        <f t="shared" ref="G1443:G1445" si="440">IF(E1443&lt;=30,(0.6*E1443+1.25)*F1443,((0.6*30+1.25)+0.5*(E1443-30))*F1443)</f>
        <v>134.32594824999998</v>
      </c>
      <c r="H1443" s="465"/>
      <c r="I1443" s="465"/>
      <c r="J1443" s="407">
        <f t="shared" si="416"/>
        <v>0</v>
      </c>
      <c r="K1443" s="408"/>
      <c r="L1443" s="152">
        <v>0</v>
      </c>
      <c r="M1443" s="213"/>
      <c r="N1443" s="402">
        <f t="shared" si="427"/>
        <v>0</v>
      </c>
      <c r="O1443" s="402">
        <f t="shared" si="428"/>
        <v>0</v>
      </c>
      <c r="P1443" s="403"/>
      <c r="Q1443" s="464"/>
      <c r="R1443" s="464"/>
      <c r="S1443" s="402">
        <f t="shared" si="429"/>
        <v>0</v>
      </c>
      <c r="T1443" s="404">
        <f t="shared" si="422"/>
        <v>0</v>
      </c>
      <c r="U1443" s="403"/>
      <c r="V1443" s="160" t="str">
        <f>IF(T1441&gt;0,"xx",IF(O1441&gt;0,"xy",""))</f>
        <v/>
      </c>
      <c r="W1443" s="43" t="str">
        <f t="shared" si="412"/>
        <v/>
      </c>
      <c r="X1443" s="43" t="str">
        <f t="shared" si="424"/>
        <v/>
      </c>
      <c r="Y1443" s="43" t="str">
        <f t="shared" si="418"/>
        <v/>
      </c>
    </row>
    <row r="1444" spans="1:25" hidden="1">
      <c r="A1444" s="155" t="s">
        <v>183</v>
      </c>
      <c r="B1444" s="156"/>
      <c r="C1444" s="411" t="s">
        <v>323</v>
      </c>
      <c r="D1444" s="351"/>
      <c r="E1444" s="405">
        <v>20</v>
      </c>
      <c r="F1444" s="406">
        <f>VLOOKUP(C1441,'ENSAIOS DE ORÇAMENTO'!$C$3:$L$79,6,FALSE)</f>
        <v>1.699854</v>
      </c>
      <c r="G1444" s="158">
        <f t="shared" si="440"/>
        <v>22.523065500000001</v>
      </c>
      <c r="H1444" s="465"/>
      <c r="I1444" s="465"/>
      <c r="J1444" s="407">
        <f t="shared" si="416"/>
        <v>0</v>
      </c>
      <c r="K1444" s="408"/>
      <c r="L1444" s="152">
        <v>0</v>
      </c>
      <c r="M1444" s="213"/>
      <c r="N1444" s="402">
        <f t="shared" si="427"/>
        <v>0</v>
      </c>
      <c r="O1444" s="402">
        <f t="shared" si="428"/>
        <v>0</v>
      </c>
      <c r="P1444" s="403"/>
      <c r="Q1444" s="464"/>
      <c r="R1444" s="464"/>
      <c r="S1444" s="402">
        <f t="shared" si="429"/>
        <v>0</v>
      </c>
      <c r="T1444" s="404">
        <f t="shared" si="422"/>
        <v>0</v>
      </c>
      <c r="U1444" s="403"/>
      <c r="V1444" s="160" t="str">
        <f>IF(T1441&gt;0,"xx",IF(O1441&gt;0,"xy",""))</f>
        <v/>
      </c>
      <c r="W1444" s="43" t="str">
        <f t="shared" si="412"/>
        <v/>
      </c>
      <c r="X1444" s="43" t="str">
        <f t="shared" si="424"/>
        <v/>
      </c>
      <c r="Y1444" s="43" t="str">
        <f t="shared" si="418"/>
        <v/>
      </c>
    </row>
    <row r="1445" spans="1:25" hidden="1">
      <c r="A1445" s="155" t="s">
        <v>183</v>
      </c>
      <c r="B1445" s="156"/>
      <c r="C1445" s="411" t="s">
        <v>511</v>
      </c>
      <c r="D1445" s="351"/>
      <c r="E1445" s="405">
        <v>30</v>
      </c>
      <c r="F1445" s="406">
        <f>VLOOKUP(C1441,'ENSAIOS DE ORÇAMENTO'!$C$3:$L$79,3,FALSE)</f>
        <v>0</v>
      </c>
      <c r="G1445" s="158">
        <f t="shared" si="440"/>
        <v>0</v>
      </c>
      <c r="H1445" s="465"/>
      <c r="I1445" s="465"/>
      <c r="J1445" s="407">
        <f t="shared" si="416"/>
        <v>0</v>
      </c>
      <c r="K1445" s="408"/>
      <c r="L1445" s="152">
        <v>0</v>
      </c>
      <c r="M1445" s="213"/>
      <c r="N1445" s="402">
        <f t="shared" si="427"/>
        <v>0</v>
      </c>
      <c r="O1445" s="402">
        <f t="shared" si="428"/>
        <v>0</v>
      </c>
      <c r="P1445" s="403"/>
      <c r="Q1445" s="464"/>
      <c r="R1445" s="464"/>
      <c r="S1445" s="402">
        <f t="shared" si="429"/>
        <v>0</v>
      </c>
      <c r="T1445" s="404">
        <f t="shared" si="422"/>
        <v>0</v>
      </c>
      <c r="U1445" s="403"/>
      <c r="V1445" s="160" t="str">
        <f>IF(T1441&gt;0,"xx",IF(O1441&gt;0,"xy",""))</f>
        <v/>
      </c>
      <c r="W1445" s="43" t="str">
        <f t="shared" si="412"/>
        <v/>
      </c>
      <c r="X1445" s="43" t="str">
        <f t="shared" si="424"/>
        <v/>
      </c>
      <c r="Y1445" s="43" t="str">
        <f t="shared" si="418"/>
        <v/>
      </c>
    </row>
    <row r="1446" spans="1:25" hidden="1">
      <c r="A1446" s="155" t="s">
        <v>183</v>
      </c>
      <c r="B1446" s="156"/>
      <c r="C1446" s="411" t="s">
        <v>512</v>
      </c>
      <c r="D1446" s="351"/>
      <c r="E1446" s="405">
        <v>500</v>
      </c>
      <c r="F1446" s="406">
        <f>VLOOKUP(C1441,'ENSAIOS DE ORÇAMENTO'!$C$3:$L$79,10,FALSE)</f>
        <v>0</v>
      </c>
      <c r="G1446" s="158">
        <f t="shared" ref="G1446" si="441">IF(E1446&lt;=30,(0.42*E1446+3.55)*F1446,((0.42*30+3.55)+0.35*(E1446-30))*F1446)</f>
        <v>0</v>
      </c>
      <c r="H1446" s="465"/>
      <c r="I1446" s="465"/>
      <c r="J1446" s="407">
        <f t="shared" si="416"/>
        <v>0</v>
      </c>
      <c r="K1446" s="408"/>
      <c r="L1446" s="152">
        <v>0</v>
      </c>
      <c r="M1446" s="213"/>
      <c r="N1446" s="402">
        <f t="shared" si="427"/>
        <v>0</v>
      </c>
      <c r="O1446" s="402">
        <f t="shared" si="428"/>
        <v>0</v>
      </c>
      <c r="P1446" s="403"/>
      <c r="Q1446" s="464"/>
      <c r="R1446" s="464"/>
      <c r="S1446" s="402">
        <f t="shared" si="429"/>
        <v>0</v>
      </c>
      <c r="T1446" s="404">
        <f t="shared" si="422"/>
        <v>0</v>
      </c>
      <c r="U1446" s="403"/>
      <c r="V1446" s="160" t="str">
        <f>IF(T1441&gt;0,"xx",IF(O1441&gt;0,"xy",""))</f>
        <v/>
      </c>
      <c r="W1446" s="43" t="str">
        <f t="shared" si="412"/>
        <v/>
      </c>
      <c r="X1446" s="43" t="str">
        <f t="shared" si="424"/>
        <v/>
      </c>
      <c r="Y1446" s="43" t="str">
        <f t="shared" si="418"/>
        <v/>
      </c>
    </row>
    <row r="1447" spans="1:25" hidden="1">
      <c r="A1447" s="155" t="s">
        <v>132</v>
      </c>
      <c r="B1447" s="156" t="s">
        <v>242</v>
      </c>
      <c r="C1447" s="411" t="s">
        <v>119</v>
      </c>
      <c r="D1447" s="351"/>
      <c r="E1447" s="405"/>
      <c r="F1447" s="406"/>
      <c r="G1447" s="158">
        <f>SUM(G1448:G1452)</f>
        <v>338.72943974999998</v>
      </c>
      <c r="H1447" s="465">
        <f>VLOOKUP(C1447,'ENSAIOS DE ORÇAMENTO'!$C$3:$L$79,8,FALSE)</f>
        <v>2965.8445079999997</v>
      </c>
      <c r="I1447" s="465">
        <f>IF(ISBLANK(H1447),"",SUM(G1447:H1447))</f>
        <v>3304.5739477499997</v>
      </c>
      <c r="J1447" s="407">
        <f t="shared" si="416"/>
        <v>4190.2</v>
      </c>
      <c r="K1447" s="408" t="s">
        <v>23</v>
      </c>
      <c r="L1447" s="152">
        <v>0</v>
      </c>
      <c r="M1447" s="152"/>
      <c r="N1447" s="402">
        <f t="shared" si="427"/>
        <v>0</v>
      </c>
      <c r="O1447" s="402">
        <f t="shared" si="428"/>
        <v>0</v>
      </c>
      <c r="P1447" s="403"/>
      <c r="Q1447" s="152">
        <f t="shared" si="437"/>
        <v>0</v>
      </c>
      <c r="R1447" s="152">
        <f t="shared" si="437"/>
        <v>0</v>
      </c>
      <c r="S1447" s="402">
        <f t="shared" si="429"/>
        <v>0</v>
      </c>
      <c r="T1447" s="404">
        <f t="shared" si="422"/>
        <v>0</v>
      </c>
      <c r="U1447" s="403"/>
      <c r="W1447" s="43" t="str">
        <f t="shared" si="412"/>
        <v/>
      </c>
      <c r="X1447" s="43" t="str">
        <f t="shared" si="424"/>
        <v/>
      </c>
      <c r="Y1447" s="43" t="str">
        <f t="shared" si="418"/>
        <v/>
      </c>
    </row>
    <row r="1448" spans="1:25" hidden="1">
      <c r="A1448" s="155" t="s">
        <v>183</v>
      </c>
      <c r="B1448" s="156"/>
      <c r="C1448" s="411" t="s">
        <v>251</v>
      </c>
      <c r="D1448" s="351"/>
      <c r="E1448" s="405">
        <v>500</v>
      </c>
      <c r="F1448" s="406">
        <f>VLOOKUP(C1447,'ENSAIOS DE ORÇAMENTO'!$C$3:$L$79,4,FALSE)</f>
        <v>0.65454999999999997</v>
      </c>
      <c r="G1448" s="158">
        <f>IF(E1448&lt;=30,(0.42*E1448+3.55)*F1448,((0.42*30+3.55)+0.35*(E1448-30))*F1448)</f>
        <v>118.2444575</v>
      </c>
      <c r="H1448" s="465"/>
      <c r="I1448" s="465"/>
      <c r="J1448" s="407">
        <f t="shared" si="416"/>
        <v>0</v>
      </c>
      <c r="K1448" s="408"/>
      <c r="L1448" s="152">
        <v>0</v>
      </c>
      <c r="M1448" s="213"/>
      <c r="N1448" s="402">
        <f t="shared" si="427"/>
        <v>0</v>
      </c>
      <c r="O1448" s="402">
        <f t="shared" si="428"/>
        <v>0</v>
      </c>
      <c r="P1448" s="403"/>
      <c r="Q1448" s="464"/>
      <c r="R1448" s="464"/>
      <c r="S1448" s="402">
        <f t="shared" si="429"/>
        <v>0</v>
      </c>
      <c r="T1448" s="404">
        <f t="shared" si="422"/>
        <v>0</v>
      </c>
      <c r="U1448" s="403"/>
      <c r="V1448" s="160" t="str">
        <f>IF(T1447&gt;0,"xx",IF(O1447&gt;0,"xy",""))</f>
        <v/>
      </c>
      <c r="W1448" s="43" t="str">
        <f t="shared" si="412"/>
        <v/>
      </c>
      <c r="X1448" s="43" t="str">
        <f t="shared" si="424"/>
        <v/>
      </c>
      <c r="Y1448" s="43" t="str">
        <f t="shared" si="418"/>
        <v/>
      </c>
    </row>
    <row r="1449" spans="1:25" hidden="1">
      <c r="A1449" s="155" t="s">
        <v>183</v>
      </c>
      <c r="B1449" s="156"/>
      <c r="C1449" s="411" t="s">
        <v>314</v>
      </c>
      <c r="D1449" s="351"/>
      <c r="E1449" s="405">
        <v>180</v>
      </c>
      <c r="F1449" s="406">
        <f>VLOOKUP(C1447,'ENSAIOS DE ORÇAMENTO'!$C$3:$L$79,5,FALSE)</f>
        <v>1.8801829999999999</v>
      </c>
      <c r="G1449" s="158">
        <f t="shared" ref="G1449:G1451" si="442">IF(E1449&lt;=30,(0.6*E1449+1.25)*F1449,((0.6*30+1.25)+0.5*(E1449-30))*F1449)</f>
        <v>177.20724774999999</v>
      </c>
      <c r="H1449" s="465"/>
      <c r="I1449" s="465"/>
      <c r="J1449" s="407">
        <f t="shared" si="416"/>
        <v>0</v>
      </c>
      <c r="K1449" s="408"/>
      <c r="L1449" s="152">
        <v>0</v>
      </c>
      <c r="M1449" s="213"/>
      <c r="N1449" s="402">
        <f t="shared" si="427"/>
        <v>0</v>
      </c>
      <c r="O1449" s="402">
        <f t="shared" si="428"/>
        <v>0</v>
      </c>
      <c r="P1449" s="403"/>
      <c r="Q1449" s="464"/>
      <c r="R1449" s="464"/>
      <c r="S1449" s="402">
        <f t="shared" si="429"/>
        <v>0</v>
      </c>
      <c r="T1449" s="404">
        <f t="shared" si="422"/>
        <v>0</v>
      </c>
      <c r="U1449" s="403"/>
      <c r="V1449" s="160" t="str">
        <f>IF(T1447&gt;0,"xx",IF(O1447&gt;0,"xy",""))</f>
        <v/>
      </c>
      <c r="W1449" s="43" t="str">
        <f t="shared" si="412"/>
        <v/>
      </c>
      <c r="X1449" s="43" t="str">
        <f t="shared" si="424"/>
        <v/>
      </c>
      <c r="Y1449" s="43" t="str">
        <f t="shared" si="418"/>
        <v/>
      </c>
    </row>
    <row r="1450" spans="1:25" hidden="1">
      <c r="A1450" s="155" t="s">
        <v>183</v>
      </c>
      <c r="B1450" s="156"/>
      <c r="C1450" s="411" t="s">
        <v>323</v>
      </c>
      <c r="D1450" s="351"/>
      <c r="E1450" s="405">
        <v>30</v>
      </c>
      <c r="F1450" s="406">
        <f>VLOOKUP(C1447,'ENSAIOS DE ORÇAMENTO'!$C$3:$L$79,6,FALSE)</f>
        <v>2.2481940000000002</v>
      </c>
      <c r="G1450" s="158">
        <f t="shared" si="442"/>
        <v>43.277734500000008</v>
      </c>
      <c r="H1450" s="465"/>
      <c r="I1450" s="465"/>
      <c r="J1450" s="407">
        <f t="shared" si="416"/>
        <v>0</v>
      </c>
      <c r="K1450" s="408"/>
      <c r="L1450" s="152">
        <v>0</v>
      </c>
      <c r="M1450" s="213"/>
      <c r="N1450" s="402">
        <f t="shared" si="427"/>
        <v>0</v>
      </c>
      <c r="O1450" s="402">
        <f t="shared" si="428"/>
        <v>0</v>
      </c>
      <c r="P1450" s="403"/>
      <c r="Q1450" s="464"/>
      <c r="R1450" s="464"/>
      <c r="S1450" s="402">
        <f t="shared" si="429"/>
        <v>0</v>
      </c>
      <c r="T1450" s="404">
        <f t="shared" si="422"/>
        <v>0</v>
      </c>
      <c r="U1450" s="403"/>
      <c r="V1450" s="160" t="str">
        <f>IF(T1447&gt;0,"xx",IF(O1447&gt;0,"xy",""))</f>
        <v/>
      </c>
      <c r="W1450" s="43" t="str">
        <f t="shared" si="412"/>
        <v/>
      </c>
      <c r="X1450" s="43" t="str">
        <f t="shared" si="424"/>
        <v/>
      </c>
      <c r="Y1450" s="43" t="str">
        <f t="shared" si="418"/>
        <v/>
      </c>
    </row>
    <row r="1451" spans="1:25" hidden="1">
      <c r="A1451" s="155" t="s">
        <v>183</v>
      </c>
      <c r="B1451" s="156"/>
      <c r="C1451" s="411" t="s">
        <v>511</v>
      </c>
      <c r="D1451" s="351"/>
      <c r="E1451" s="405">
        <v>30</v>
      </c>
      <c r="F1451" s="406">
        <f>VLOOKUP(C1447,'ENSAIOS DE ORÇAMENTO'!$C$3:$L$79,3,FALSE)</f>
        <v>0</v>
      </c>
      <c r="G1451" s="158">
        <f t="shared" si="442"/>
        <v>0</v>
      </c>
      <c r="H1451" s="465"/>
      <c r="I1451" s="465"/>
      <c r="J1451" s="407">
        <f t="shared" si="416"/>
        <v>0</v>
      </c>
      <c r="K1451" s="408"/>
      <c r="L1451" s="152">
        <v>0</v>
      </c>
      <c r="M1451" s="213"/>
      <c r="N1451" s="402">
        <f t="shared" si="427"/>
        <v>0</v>
      </c>
      <c r="O1451" s="402">
        <f t="shared" si="428"/>
        <v>0</v>
      </c>
      <c r="P1451" s="403"/>
      <c r="Q1451" s="464"/>
      <c r="R1451" s="464"/>
      <c r="S1451" s="402">
        <f t="shared" si="429"/>
        <v>0</v>
      </c>
      <c r="T1451" s="404">
        <f t="shared" si="422"/>
        <v>0</v>
      </c>
      <c r="U1451" s="403"/>
      <c r="V1451" s="160" t="str">
        <f>IF(T1447&gt;0,"xx",IF(O1447&gt;0,"xy",""))</f>
        <v/>
      </c>
      <c r="W1451" s="43" t="str">
        <f t="shared" si="412"/>
        <v/>
      </c>
      <c r="X1451" s="43" t="str">
        <f t="shared" si="424"/>
        <v/>
      </c>
      <c r="Y1451" s="43" t="str">
        <f t="shared" si="418"/>
        <v/>
      </c>
    </row>
    <row r="1452" spans="1:25" hidden="1">
      <c r="A1452" s="155" t="s">
        <v>183</v>
      </c>
      <c r="B1452" s="156"/>
      <c r="C1452" s="411" t="s">
        <v>512</v>
      </c>
      <c r="D1452" s="351"/>
      <c r="E1452" s="405">
        <v>500</v>
      </c>
      <c r="F1452" s="406">
        <f>VLOOKUP(C1447,'ENSAIOS DE ORÇAMENTO'!$C$3:$L$79,10,FALSE)</f>
        <v>0</v>
      </c>
      <c r="G1452" s="158">
        <f t="shared" ref="G1452" si="443">IF(E1452&lt;=30,(0.42*E1452+3.55)*F1452,((0.42*30+3.55)+0.35*(E1452-30))*F1452)</f>
        <v>0</v>
      </c>
      <c r="H1452" s="465"/>
      <c r="I1452" s="465"/>
      <c r="J1452" s="407">
        <f t="shared" si="416"/>
        <v>0</v>
      </c>
      <c r="K1452" s="408"/>
      <c r="L1452" s="152">
        <v>0</v>
      </c>
      <c r="M1452" s="213"/>
      <c r="N1452" s="402">
        <f t="shared" si="427"/>
        <v>0</v>
      </c>
      <c r="O1452" s="402">
        <f t="shared" si="428"/>
        <v>0</v>
      </c>
      <c r="P1452" s="403"/>
      <c r="Q1452" s="464"/>
      <c r="R1452" s="464"/>
      <c r="S1452" s="402">
        <f t="shared" si="429"/>
        <v>0</v>
      </c>
      <c r="T1452" s="404">
        <f t="shared" si="422"/>
        <v>0</v>
      </c>
      <c r="U1452" s="403"/>
      <c r="V1452" s="160" t="str">
        <f>IF(T1447&gt;0,"xx",IF(O1447&gt;0,"xy",""))</f>
        <v/>
      </c>
      <c r="W1452" s="43" t="str">
        <f t="shared" si="412"/>
        <v/>
      </c>
      <c r="X1452" s="43" t="str">
        <f t="shared" si="424"/>
        <v/>
      </c>
      <c r="Y1452" s="43" t="str">
        <f t="shared" si="418"/>
        <v/>
      </c>
    </row>
    <row r="1453" spans="1:25" hidden="1">
      <c r="A1453" s="155" t="s">
        <v>133</v>
      </c>
      <c r="B1453" s="156" t="s">
        <v>242</v>
      </c>
      <c r="C1453" s="411" t="s">
        <v>120</v>
      </c>
      <c r="D1453" s="351"/>
      <c r="E1453" s="405"/>
      <c r="F1453" s="406"/>
      <c r="G1453" s="158">
        <f>SUM(G1454:G1458)</f>
        <v>404.83664325000001</v>
      </c>
      <c r="H1453" s="465">
        <f>VLOOKUP(C1453,'ENSAIOS DE ORÇAMENTO'!$C$3:$L$79,8,FALSE)</f>
        <v>3619.6979679999999</v>
      </c>
      <c r="I1453" s="465">
        <f>IF(ISBLANK(H1453),"",SUM(G1453:H1453))</f>
        <v>4024.5346112500001</v>
      </c>
      <c r="J1453" s="407">
        <f t="shared" si="416"/>
        <v>5103.1099999999997</v>
      </c>
      <c r="K1453" s="408" t="s">
        <v>23</v>
      </c>
      <c r="L1453" s="152">
        <v>0</v>
      </c>
      <c r="M1453" s="152"/>
      <c r="N1453" s="402">
        <f t="shared" si="427"/>
        <v>0</v>
      </c>
      <c r="O1453" s="402">
        <f t="shared" si="428"/>
        <v>0</v>
      </c>
      <c r="P1453" s="403"/>
      <c r="Q1453" s="152">
        <f t="shared" si="437"/>
        <v>0</v>
      </c>
      <c r="R1453" s="152">
        <f t="shared" si="437"/>
        <v>0</v>
      </c>
      <c r="S1453" s="402">
        <f t="shared" si="429"/>
        <v>0</v>
      </c>
      <c r="T1453" s="404">
        <f t="shared" si="422"/>
        <v>0</v>
      </c>
      <c r="U1453" s="403"/>
      <c r="W1453" s="43" t="str">
        <f t="shared" ref="W1453:W1516" si="444">IF(V1453="X","x",IF(V1453="xx","x",IF(V1453="xy","x",IF(V1453="y","x",IF(OR(O1453&gt;0,T1453&gt;0),"x","")))))</f>
        <v/>
      </c>
      <c r="X1453" s="43" t="str">
        <f t="shared" si="424"/>
        <v/>
      </c>
      <c r="Y1453" s="43" t="str">
        <f t="shared" si="418"/>
        <v/>
      </c>
    </row>
    <row r="1454" spans="1:25" hidden="1">
      <c r="A1454" s="155" t="s">
        <v>183</v>
      </c>
      <c r="B1454" s="156"/>
      <c r="C1454" s="411" t="s">
        <v>251</v>
      </c>
      <c r="D1454" s="351"/>
      <c r="E1454" s="405">
        <v>500</v>
      </c>
      <c r="F1454" s="406">
        <f>VLOOKUP(C1453,'ENSAIOS DE ORÇAMENTO'!$C$3:$L$79,4,FALSE)</f>
        <v>0.81756999999999991</v>
      </c>
      <c r="G1454" s="158">
        <f>IF(E1454&lt;=30,(0.42*E1454+3.55)*F1454,((0.42*30+3.55)+0.35*(E1454-30))*F1454)</f>
        <v>147.69402049999999</v>
      </c>
      <c r="H1454" s="465"/>
      <c r="I1454" s="465"/>
      <c r="J1454" s="407">
        <f t="shared" si="416"/>
        <v>0</v>
      </c>
      <c r="K1454" s="408"/>
      <c r="L1454" s="152">
        <v>0</v>
      </c>
      <c r="M1454" s="213"/>
      <c r="N1454" s="402">
        <f t="shared" si="427"/>
        <v>0</v>
      </c>
      <c r="O1454" s="402">
        <f t="shared" si="428"/>
        <v>0</v>
      </c>
      <c r="P1454" s="403"/>
      <c r="Q1454" s="464"/>
      <c r="R1454" s="464"/>
      <c r="S1454" s="402">
        <f t="shared" si="429"/>
        <v>0</v>
      </c>
      <c r="T1454" s="404">
        <f t="shared" si="422"/>
        <v>0</v>
      </c>
      <c r="U1454" s="403"/>
      <c r="V1454" s="160" t="str">
        <f>IF(T1453&gt;0,"xx",IF(O1453&gt;0,"xy",""))</f>
        <v/>
      </c>
      <c r="W1454" s="43" t="str">
        <f t="shared" si="444"/>
        <v/>
      </c>
      <c r="X1454" s="43" t="str">
        <f t="shared" si="424"/>
        <v/>
      </c>
      <c r="Y1454" s="43" t="str">
        <f t="shared" si="418"/>
        <v/>
      </c>
    </row>
    <row r="1455" spans="1:25" hidden="1">
      <c r="A1455" s="155" t="s">
        <v>183</v>
      </c>
      <c r="B1455" s="156"/>
      <c r="C1455" s="411" t="s">
        <v>314</v>
      </c>
      <c r="D1455" s="351"/>
      <c r="E1455" s="405">
        <v>180</v>
      </c>
      <c r="F1455" s="406">
        <f>VLOOKUP(C1453,'ENSAIOS DE ORÇAMENTO'!$C$3:$L$79,5,FALSE)</f>
        <v>2.3351569999999997</v>
      </c>
      <c r="G1455" s="158">
        <f t="shared" ref="G1455:G1457" si="445">IF(E1455&lt;=30,(0.6*E1455+1.25)*F1455,((0.6*30+1.25)+0.5*(E1455-30))*F1455)</f>
        <v>220.08854724999998</v>
      </c>
      <c r="H1455" s="465"/>
      <c r="I1455" s="465"/>
      <c r="J1455" s="407">
        <f t="shared" si="416"/>
        <v>0</v>
      </c>
      <c r="K1455" s="408"/>
      <c r="L1455" s="152">
        <v>0</v>
      </c>
      <c r="M1455" s="213"/>
      <c r="N1455" s="402">
        <f t="shared" si="427"/>
        <v>0</v>
      </c>
      <c r="O1455" s="402">
        <f t="shared" si="428"/>
        <v>0</v>
      </c>
      <c r="P1455" s="403"/>
      <c r="Q1455" s="464"/>
      <c r="R1455" s="464"/>
      <c r="S1455" s="402">
        <f t="shared" si="429"/>
        <v>0</v>
      </c>
      <c r="T1455" s="404">
        <f t="shared" si="422"/>
        <v>0</v>
      </c>
      <c r="U1455" s="403"/>
      <c r="V1455" s="160" t="str">
        <f>IF(T1453&gt;0,"xx",IF(O1453&gt;0,"xy",""))</f>
        <v/>
      </c>
      <c r="W1455" s="43" t="str">
        <f t="shared" si="444"/>
        <v/>
      </c>
      <c r="X1455" s="43" t="str">
        <f t="shared" si="424"/>
        <v/>
      </c>
      <c r="Y1455" s="43" t="str">
        <f t="shared" si="418"/>
        <v/>
      </c>
    </row>
    <row r="1456" spans="1:25" hidden="1">
      <c r="A1456" s="155" t="s">
        <v>183</v>
      </c>
      <c r="B1456" s="156"/>
      <c r="C1456" s="411" t="s">
        <v>323</v>
      </c>
      <c r="D1456" s="351"/>
      <c r="E1456" s="405">
        <v>20</v>
      </c>
      <c r="F1456" s="406">
        <f>VLOOKUP(C1453,'ENSAIOS DE ORÇAMENTO'!$C$3:$L$79,6,FALSE)</f>
        <v>2.7965340000000003</v>
      </c>
      <c r="G1456" s="158">
        <f t="shared" si="445"/>
        <v>37.054075500000003</v>
      </c>
      <c r="H1456" s="465"/>
      <c r="I1456" s="465"/>
      <c r="J1456" s="407">
        <f t="shared" si="416"/>
        <v>0</v>
      </c>
      <c r="K1456" s="408"/>
      <c r="L1456" s="152">
        <v>0</v>
      </c>
      <c r="M1456" s="213"/>
      <c r="N1456" s="402">
        <f t="shared" si="427"/>
        <v>0</v>
      </c>
      <c r="O1456" s="402">
        <f t="shared" si="428"/>
        <v>0</v>
      </c>
      <c r="P1456" s="403"/>
      <c r="Q1456" s="464"/>
      <c r="R1456" s="464"/>
      <c r="S1456" s="402">
        <f t="shared" si="429"/>
        <v>0</v>
      </c>
      <c r="T1456" s="404">
        <f t="shared" si="422"/>
        <v>0</v>
      </c>
      <c r="U1456" s="403"/>
      <c r="V1456" s="160" t="str">
        <f>IF(T1453&gt;0,"xx",IF(O1453&gt;0,"xy",""))</f>
        <v/>
      </c>
      <c r="W1456" s="43" t="str">
        <f t="shared" si="444"/>
        <v/>
      </c>
      <c r="X1456" s="43" t="str">
        <f t="shared" si="424"/>
        <v/>
      </c>
      <c r="Y1456" s="43" t="str">
        <f t="shared" si="418"/>
        <v/>
      </c>
    </row>
    <row r="1457" spans="1:25" hidden="1">
      <c r="A1457" s="155" t="s">
        <v>183</v>
      </c>
      <c r="B1457" s="156"/>
      <c r="C1457" s="411" t="s">
        <v>511</v>
      </c>
      <c r="D1457" s="351"/>
      <c r="E1457" s="405">
        <v>30</v>
      </c>
      <c r="F1457" s="406">
        <f>VLOOKUP(C1453,'ENSAIOS DE ORÇAMENTO'!$C$3:$L$79,3,FALSE)</f>
        <v>0</v>
      </c>
      <c r="G1457" s="158">
        <f t="shared" si="445"/>
        <v>0</v>
      </c>
      <c r="H1457" s="465"/>
      <c r="I1457" s="465"/>
      <c r="J1457" s="407">
        <f t="shared" si="416"/>
        <v>0</v>
      </c>
      <c r="K1457" s="408"/>
      <c r="L1457" s="152">
        <v>0</v>
      </c>
      <c r="M1457" s="213"/>
      <c r="N1457" s="402">
        <f t="shared" si="427"/>
        <v>0</v>
      </c>
      <c r="O1457" s="402">
        <f t="shared" si="428"/>
        <v>0</v>
      </c>
      <c r="P1457" s="403"/>
      <c r="Q1457" s="464"/>
      <c r="R1457" s="464"/>
      <c r="S1457" s="402">
        <f t="shared" si="429"/>
        <v>0</v>
      </c>
      <c r="T1457" s="404">
        <f t="shared" si="422"/>
        <v>0</v>
      </c>
      <c r="U1457" s="403"/>
      <c r="V1457" s="160" t="str">
        <f>IF(T1453&gt;0,"xx",IF(O1453&gt;0,"xy",""))</f>
        <v/>
      </c>
      <c r="W1457" s="43" t="str">
        <f t="shared" si="444"/>
        <v/>
      </c>
      <c r="X1457" s="43" t="str">
        <f t="shared" si="424"/>
        <v/>
      </c>
      <c r="Y1457" s="43" t="str">
        <f t="shared" si="418"/>
        <v/>
      </c>
    </row>
    <row r="1458" spans="1:25" hidden="1">
      <c r="A1458" s="155" t="s">
        <v>183</v>
      </c>
      <c r="B1458" s="156"/>
      <c r="C1458" s="411" t="s">
        <v>512</v>
      </c>
      <c r="D1458" s="351"/>
      <c r="E1458" s="405">
        <v>500</v>
      </c>
      <c r="F1458" s="406">
        <f>VLOOKUP(C1453,'ENSAIOS DE ORÇAMENTO'!$C$3:$L$79,10,FALSE)</f>
        <v>0</v>
      </c>
      <c r="G1458" s="158">
        <f t="shared" ref="G1458" si="446">IF(E1458&lt;=30,(0.42*E1458+3.55)*F1458,((0.42*30+3.55)+0.35*(E1458-30))*F1458)</f>
        <v>0</v>
      </c>
      <c r="H1458" s="465"/>
      <c r="I1458" s="465"/>
      <c r="J1458" s="407">
        <f t="shared" ref="J1458:J1521" si="447">IF(ISBLANK(H1458),0,ROUND(I1458*(1+$E$10)*(1+$E$11*D1458),2))</f>
        <v>0</v>
      </c>
      <c r="K1458" s="408"/>
      <c r="L1458" s="152">
        <v>0</v>
      </c>
      <c r="M1458" s="213"/>
      <c r="N1458" s="402">
        <f t="shared" si="427"/>
        <v>0</v>
      </c>
      <c r="O1458" s="402">
        <f t="shared" si="428"/>
        <v>0</v>
      </c>
      <c r="P1458" s="403"/>
      <c r="Q1458" s="464"/>
      <c r="R1458" s="464"/>
      <c r="S1458" s="402">
        <f t="shared" si="429"/>
        <v>0</v>
      </c>
      <c r="T1458" s="404">
        <f t="shared" si="422"/>
        <v>0</v>
      </c>
      <c r="U1458" s="403"/>
      <c r="V1458" s="160" t="str">
        <f>IF(T1453&gt;0,"xx",IF(O1453&gt;0,"xy",""))</f>
        <v/>
      </c>
      <c r="W1458" s="43" t="str">
        <f t="shared" si="444"/>
        <v/>
      </c>
      <c r="X1458" s="43" t="str">
        <f t="shared" si="424"/>
        <v/>
      </c>
      <c r="Y1458" s="43" t="str">
        <f t="shared" si="418"/>
        <v/>
      </c>
    </row>
    <row r="1459" spans="1:25" hidden="1">
      <c r="A1459" s="155" t="s">
        <v>134</v>
      </c>
      <c r="B1459" s="156" t="s">
        <v>242</v>
      </c>
      <c r="C1459" s="411" t="s">
        <v>108</v>
      </c>
      <c r="D1459" s="351"/>
      <c r="E1459" s="405"/>
      <c r="F1459" s="406"/>
      <c r="G1459" s="158">
        <f>SUM(G1460:G1464)</f>
        <v>63.921234255999998</v>
      </c>
      <c r="H1459" s="465">
        <f>VLOOKUP(C1459,'ENSAIOS DE ORÇAMENTO'!$C$3:$L$79,8,FALSE)</f>
        <v>265.79571244799996</v>
      </c>
      <c r="I1459" s="465">
        <f>IF(ISBLANK(H1459),"",SUM(G1459:H1459))</f>
        <v>329.71694670399995</v>
      </c>
      <c r="J1459" s="407">
        <f t="shared" si="447"/>
        <v>418.08</v>
      </c>
      <c r="K1459" s="408" t="s">
        <v>23</v>
      </c>
      <c r="L1459" s="152">
        <v>0</v>
      </c>
      <c r="M1459" s="152"/>
      <c r="N1459" s="402">
        <f t="shared" si="427"/>
        <v>0</v>
      </c>
      <c r="O1459" s="402">
        <f t="shared" si="428"/>
        <v>0</v>
      </c>
      <c r="P1459" s="403"/>
      <c r="Q1459" s="152">
        <f t="shared" si="437"/>
        <v>0</v>
      </c>
      <c r="R1459" s="152">
        <f t="shared" si="437"/>
        <v>0</v>
      </c>
      <c r="S1459" s="402">
        <f t="shared" si="429"/>
        <v>0</v>
      </c>
      <c r="T1459" s="404">
        <f t="shared" si="422"/>
        <v>0</v>
      </c>
      <c r="U1459" s="403"/>
      <c r="W1459" s="43" t="str">
        <f t="shared" si="444"/>
        <v/>
      </c>
      <c r="X1459" s="43" t="str">
        <f t="shared" si="424"/>
        <v/>
      </c>
      <c r="Y1459" s="43" t="str">
        <f t="shared" si="418"/>
        <v/>
      </c>
    </row>
    <row r="1460" spans="1:25" hidden="1">
      <c r="A1460" s="155" t="s">
        <v>183</v>
      </c>
      <c r="B1460" s="156"/>
      <c r="C1460" s="411" t="s">
        <v>251</v>
      </c>
      <c r="D1460" s="351"/>
      <c r="E1460" s="405">
        <v>500</v>
      </c>
      <c r="F1460" s="406">
        <f>VLOOKUP(C1459,'ENSAIOS DE ORÇAMENTO'!$C$3:$L$79,4,FALSE)</f>
        <v>9.7145984000000005E-2</v>
      </c>
      <c r="G1460" s="158">
        <f>IF(E1460&lt;=30,(0.42*E1460+3.55)*F1460,((0.42*30+3.55)+0.35*(E1460-30))*F1460)</f>
        <v>17.549422009600001</v>
      </c>
      <c r="H1460" s="465"/>
      <c r="I1460" s="465"/>
      <c r="J1460" s="407">
        <f t="shared" si="447"/>
        <v>0</v>
      </c>
      <c r="K1460" s="408"/>
      <c r="L1460" s="152">
        <v>0</v>
      </c>
      <c r="M1460" s="213"/>
      <c r="N1460" s="402">
        <f t="shared" si="427"/>
        <v>0</v>
      </c>
      <c r="O1460" s="402">
        <f t="shared" si="428"/>
        <v>0</v>
      </c>
      <c r="P1460" s="403"/>
      <c r="Q1460" s="464"/>
      <c r="R1460" s="464"/>
      <c r="S1460" s="402">
        <f t="shared" si="429"/>
        <v>0</v>
      </c>
      <c r="T1460" s="404">
        <f t="shared" si="422"/>
        <v>0</v>
      </c>
      <c r="U1460" s="403"/>
      <c r="V1460" s="160" t="str">
        <f>IF(T1459&gt;0,"xx",IF(O1459&gt;0,"xy",""))</f>
        <v/>
      </c>
      <c r="W1460" s="43" t="str">
        <f t="shared" si="444"/>
        <v/>
      </c>
      <c r="X1460" s="43" t="str">
        <f t="shared" si="424"/>
        <v/>
      </c>
      <c r="Y1460" s="43" t="str">
        <f t="shared" ref="Y1460:Y1523" si="448">IF(V1460="X","x",IF(T1460&gt;0,"x",""))</f>
        <v/>
      </c>
    </row>
    <row r="1461" spans="1:25" hidden="1">
      <c r="A1461" s="155" t="s">
        <v>183</v>
      </c>
      <c r="B1461" s="156"/>
      <c r="C1461" s="411" t="s">
        <v>314</v>
      </c>
      <c r="D1461" s="351"/>
      <c r="E1461" s="405">
        <v>180</v>
      </c>
      <c r="F1461" s="406">
        <f>VLOOKUP(C1459,'ENSAIOS DE ORÇAMENTO'!$C$3:$L$79,5,FALSE)</f>
        <v>0.36584033279999995</v>
      </c>
      <c r="G1461" s="158">
        <f t="shared" ref="G1461:G1463" si="449">IF(E1461&lt;=30,(0.6*E1461+1.25)*F1461,((0.6*30+1.25)+0.5*(E1461-30))*F1461)</f>
        <v>34.480451366399997</v>
      </c>
      <c r="H1461" s="465"/>
      <c r="I1461" s="465"/>
      <c r="J1461" s="407">
        <f t="shared" si="447"/>
        <v>0</v>
      </c>
      <c r="K1461" s="408"/>
      <c r="L1461" s="152">
        <v>0</v>
      </c>
      <c r="M1461" s="213"/>
      <c r="N1461" s="402">
        <f t="shared" si="427"/>
        <v>0</v>
      </c>
      <c r="O1461" s="402">
        <f t="shared" si="428"/>
        <v>0</v>
      </c>
      <c r="P1461" s="403"/>
      <c r="Q1461" s="464"/>
      <c r="R1461" s="464"/>
      <c r="S1461" s="402">
        <f t="shared" si="429"/>
        <v>0</v>
      </c>
      <c r="T1461" s="404">
        <f t="shared" si="422"/>
        <v>0</v>
      </c>
      <c r="U1461" s="403"/>
      <c r="V1461" s="160" t="str">
        <f>IF(T1459&gt;0,"xx",IF(O1459&gt;0,"xy",""))</f>
        <v/>
      </c>
      <c r="W1461" s="43" t="str">
        <f t="shared" si="444"/>
        <v/>
      </c>
      <c r="X1461" s="43" t="str">
        <f t="shared" si="424"/>
        <v/>
      </c>
      <c r="Y1461" s="43" t="str">
        <f t="shared" si="448"/>
        <v/>
      </c>
    </row>
    <row r="1462" spans="1:25" hidden="1">
      <c r="A1462" s="155" t="s">
        <v>183</v>
      </c>
      <c r="B1462" s="156"/>
      <c r="C1462" s="411" t="s">
        <v>323</v>
      </c>
      <c r="D1462" s="351"/>
      <c r="E1462" s="405">
        <v>30</v>
      </c>
      <c r="F1462" s="406">
        <f>VLOOKUP(C1459,'ENSAIOS DE ORÇAMENTO'!$C$3:$L$79,6,FALSE)</f>
        <v>0.308576448</v>
      </c>
      <c r="G1462" s="158">
        <f t="shared" si="449"/>
        <v>5.9400966239999997</v>
      </c>
      <c r="H1462" s="465"/>
      <c r="I1462" s="465"/>
      <c r="J1462" s="407">
        <f t="shared" si="447"/>
        <v>0</v>
      </c>
      <c r="K1462" s="408"/>
      <c r="L1462" s="152">
        <v>0</v>
      </c>
      <c r="M1462" s="213"/>
      <c r="N1462" s="402">
        <f t="shared" si="427"/>
        <v>0</v>
      </c>
      <c r="O1462" s="402">
        <f t="shared" si="428"/>
        <v>0</v>
      </c>
      <c r="P1462" s="403"/>
      <c r="Q1462" s="464"/>
      <c r="R1462" s="464"/>
      <c r="S1462" s="402">
        <f t="shared" si="429"/>
        <v>0</v>
      </c>
      <c r="T1462" s="404">
        <f t="shared" si="422"/>
        <v>0</v>
      </c>
      <c r="U1462" s="403"/>
      <c r="V1462" s="160" t="str">
        <f>IF(T1459&gt;0,"xx",IF(O1459&gt;0,"xy",""))</f>
        <v/>
      </c>
      <c r="W1462" s="43" t="str">
        <f t="shared" si="444"/>
        <v/>
      </c>
      <c r="X1462" s="43" t="str">
        <f t="shared" si="424"/>
        <v/>
      </c>
      <c r="Y1462" s="43" t="str">
        <f t="shared" si="448"/>
        <v/>
      </c>
    </row>
    <row r="1463" spans="1:25" hidden="1">
      <c r="A1463" s="155" t="s">
        <v>183</v>
      </c>
      <c r="B1463" s="156"/>
      <c r="C1463" s="411" t="s">
        <v>511</v>
      </c>
      <c r="D1463" s="351"/>
      <c r="E1463" s="405">
        <v>30</v>
      </c>
      <c r="F1463" s="406">
        <f>VLOOKUP(C1459,'ENSAIOS DE ORÇAMENTO'!$C$3:$L$79,3,FALSE)</f>
        <v>0.23083199999999998</v>
      </c>
      <c r="G1463" s="158">
        <f t="shared" si="449"/>
        <v>4.4435159999999998</v>
      </c>
      <c r="H1463" s="465"/>
      <c r="I1463" s="465"/>
      <c r="J1463" s="407">
        <f t="shared" si="447"/>
        <v>0</v>
      </c>
      <c r="K1463" s="408"/>
      <c r="L1463" s="152">
        <v>0</v>
      </c>
      <c r="M1463" s="213"/>
      <c r="N1463" s="402">
        <f t="shared" si="427"/>
        <v>0</v>
      </c>
      <c r="O1463" s="402">
        <f t="shared" si="428"/>
        <v>0</v>
      </c>
      <c r="P1463" s="403"/>
      <c r="Q1463" s="464"/>
      <c r="R1463" s="464"/>
      <c r="S1463" s="402">
        <f t="shared" si="429"/>
        <v>0</v>
      </c>
      <c r="T1463" s="404">
        <f t="shared" si="422"/>
        <v>0</v>
      </c>
      <c r="U1463" s="403"/>
      <c r="V1463" s="160" t="str">
        <f>IF(T1459&gt;0,"xx",IF(O1459&gt;0,"xy",""))</f>
        <v/>
      </c>
      <c r="W1463" s="43" t="str">
        <f t="shared" si="444"/>
        <v/>
      </c>
      <c r="X1463" s="43" t="str">
        <f t="shared" si="424"/>
        <v/>
      </c>
      <c r="Y1463" s="43" t="str">
        <f t="shared" si="448"/>
        <v/>
      </c>
    </row>
    <row r="1464" spans="1:25" hidden="1">
      <c r="A1464" s="155" t="s">
        <v>183</v>
      </c>
      <c r="B1464" s="156"/>
      <c r="C1464" s="411" t="s">
        <v>512</v>
      </c>
      <c r="D1464" s="351"/>
      <c r="E1464" s="405">
        <v>500</v>
      </c>
      <c r="F1464" s="406">
        <f>VLOOKUP(C1459,'ENSAIOS DE ORÇAMENTO'!$C$3:$L$79,10,FALSE)</f>
        <v>8.3462399999999996E-3</v>
      </c>
      <c r="G1464" s="158">
        <f t="shared" ref="G1464" si="450">IF(E1464&lt;=30,(0.42*E1464+3.55)*F1464,((0.42*30+3.55)+0.35*(E1464-30))*F1464)</f>
        <v>1.507748256</v>
      </c>
      <c r="H1464" s="465"/>
      <c r="I1464" s="465"/>
      <c r="J1464" s="407">
        <f t="shared" si="447"/>
        <v>0</v>
      </c>
      <c r="K1464" s="408"/>
      <c r="L1464" s="152">
        <v>0</v>
      </c>
      <c r="M1464" s="213"/>
      <c r="N1464" s="402">
        <f t="shared" si="427"/>
        <v>0</v>
      </c>
      <c r="O1464" s="402">
        <f t="shared" si="428"/>
        <v>0</v>
      </c>
      <c r="P1464" s="403"/>
      <c r="Q1464" s="464"/>
      <c r="R1464" s="464"/>
      <c r="S1464" s="402">
        <f t="shared" si="429"/>
        <v>0</v>
      </c>
      <c r="T1464" s="404">
        <f t="shared" si="422"/>
        <v>0</v>
      </c>
      <c r="U1464" s="403"/>
      <c r="V1464" s="160" t="str">
        <f>IF(T1459&gt;0,"xx",IF(O1459&gt;0,"xy",""))</f>
        <v/>
      </c>
      <c r="W1464" s="43" t="str">
        <f t="shared" si="444"/>
        <v/>
      </c>
      <c r="X1464" s="43" t="str">
        <f t="shared" si="424"/>
        <v/>
      </c>
      <c r="Y1464" s="43" t="str">
        <f t="shared" si="448"/>
        <v/>
      </c>
    </row>
    <row r="1465" spans="1:25" hidden="1">
      <c r="A1465" s="155" t="s">
        <v>39</v>
      </c>
      <c r="B1465" s="156" t="s">
        <v>242</v>
      </c>
      <c r="C1465" s="411" t="s">
        <v>109</v>
      </c>
      <c r="D1465" s="351"/>
      <c r="E1465" s="405"/>
      <c r="F1465" s="406"/>
      <c r="G1465" s="158">
        <f>SUM(G1466:G1470)</f>
        <v>94.317759483999993</v>
      </c>
      <c r="H1465" s="465">
        <f>VLOOKUP(C1465,'ENSAIOS DE ORÇAMENTO'!$C$3:$L$79,8,FALSE)</f>
        <v>402.15860736000002</v>
      </c>
      <c r="I1465" s="465">
        <f>IF(ISBLANK(H1465),"",SUM(G1465:H1465))</f>
        <v>496.47636684400004</v>
      </c>
      <c r="J1465" s="407">
        <f t="shared" si="447"/>
        <v>629.53</v>
      </c>
      <c r="K1465" s="408" t="s">
        <v>23</v>
      </c>
      <c r="L1465" s="152">
        <v>0</v>
      </c>
      <c r="M1465" s="152"/>
      <c r="N1465" s="402">
        <f t="shared" si="427"/>
        <v>0</v>
      </c>
      <c r="O1465" s="402">
        <f t="shared" si="428"/>
        <v>0</v>
      </c>
      <c r="P1465" s="403"/>
      <c r="Q1465" s="152">
        <f t="shared" si="437"/>
        <v>0</v>
      </c>
      <c r="R1465" s="152">
        <f t="shared" si="437"/>
        <v>0</v>
      </c>
      <c r="S1465" s="402">
        <f t="shared" si="429"/>
        <v>0</v>
      </c>
      <c r="T1465" s="404">
        <f t="shared" si="422"/>
        <v>0</v>
      </c>
      <c r="U1465" s="403"/>
      <c r="W1465" s="43" t="str">
        <f t="shared" si="444"/>
        <v/>
      </c>
      <c r="X1465" s="43" t="str">
        <f t="shared" si="424"/>
        <v/>
      </c>
      <c r="Y1465" s="43" t="str">
        <f t="shared" si="448"/>
        <v/>
      </c>
    </row>
    <row r="1466" spans="1:25" hidden="1">
      <c r="A1466" s="155" t="s">
        <v>183</v>
      </c>
      <c r="B1466" s="156"/>
      <c r="C1466" s="411" t="s">
        <v>251</v>
      </c>
      <c r="D1466" s="351"/>
      <c r="E1466" s="405">
        <v>500</v>
      </c>
      <c r="F1466" s="406">
        <f>VLOOKUP(C1465,'ENSAIOS DE ORÇAMENTO'!$C$3:$L$79,4,FALSE)</f>
        <v>0.14278736000000003</v>
      </c>
      <c r="G1466" s="158">
        <f>IF(E1466&lt;=30,(0.42*E1466+3.55)*F1466,((0.42*30+3.55)+0.35*(E1466-30))*F1466)</f>
        <v>25.794536584000006</v>
      </c>
      <c r="H1466" s="465"/>
      <c r="I1466" s="465"/>
      <c r="J1466" s="407">
        <f t="shared" si="447"/>
        <v>0</v>
      </c>
      <c r="K1466" s="408"/>
      <c r="L1466" s="152">
        <v>0</v>
      </c>
      <c r="M1466" s="213"/>
      <c r="N1466" s="402">
        <f t="shared" si="427"/>
        <v>0</v>
      </c>
      <c r="O1466" s="402">
        <f t="shared" si="428"/>
        <v>0</v>
      </c>
      <c r="P1466" s="403"/>
      <c r="Q1466" s="464"/>
      <c r="R1466" s="464"/>
      <c r="S1466" s="402">
        <f t="shared" si="429"/>
        <v>0</v>
      </c>
      <c r="T1466" s="404">
        <f t="shared" si="422"/>
        <v>0</v>
      </c>
      <c r="U1466" s="403"/>
      <c r="V1466" s="160" t="str">
        <f>IF(T1465&gt;0,"xx",IF(O1465&gt;0,"xy",""))</f>
        <v/>
      </c>
      <c r="W1466" s="43" t="str">
        <f t="shared" si="444"/>
        <v/>
      </c>
      <c r="X1466" s="43" t="str">
        <f t="shared" si="424"/>
        <v/>
      </c>
      <c r="Y1466" s="43" t="str">
        <f t="shared" si="448"/>
        <v/>
      </c>
    </row>
    <row r="1467" spans="1:25" hidden="1">
      <c r="A1467" s="155" t="s">
        <v>183</v>
      </c>
      <c r="B1467" s="156"/>
      <c r="C1467" s="411" t="s">
        <v>314</v>
      </c>
      <c r="D1467" s="351"/>
      <c r="E1467" s="405">
        <v>180</v>
      </c>
      <c r="F1467" s="406">
        <f>VLOOKUP(C1465,'ENSAIOS DE ORÇAMENTO'!$C$3:$L$79,5,FALSE)</f>
        <v>0.53475345600000002</v>
      </c>
      <c r="G1467" s="158">
        <f t="shared" ref="G1467:G1469" si="451">IF(E1467&lt;=30,(0.6*E1467+1.25)*F1467,((0.6*30+1.25)+0.5*(E1467-30))*F1467)</f>
        <v>50.400513228000001</v>
      </c>
      <c r="H1467" s="465"/>
      <c r="I1467" s="465"/>
      <c r="J1467" s="407">
        <f t="shared" si="447"/>
        <v>0</v>
      </c>
      <c r="K1467" s="408"/>
      <c r="L1467" s="152">
        <v>0</v>
      </c>
      <c r="M1467" s="213"/>
      <c r="N1467" s="402">
        <f t="shared" si="427"/>
        <v>0</v>
      </c>
      <c r="O1467" s="402">
        <f t="shared" si="428"/>
        <v>0</v>
      </c>
      <c r="P1467" s="403"/>
      <c r="Q1467" s="464"/>
      <c r="R1467" s="464"/>
      <c r="S1467" s="402">
        <f t="shared" si="429"/>
        <v>0</v>
      </c>
      <c r="T1467" s="404">
        <f t="shared" si="422"/>
        <v>0</v>
      </c>
      <c r="U1467" s="403"/>
      <c r="V1467" s="160" t="str">
        <f>IF(T1465&gt;0,"xx",IF(O1465&gt;0,"xy",""))</f>
        <v/>
      </c>
      <c r="W1467" s="43" t="str">
        <f t="shared" si="444"/>
        <v/>
      </c>
      <c r="X1467" s="43" t="str">
        <f t="shared" si="424"/>
        <v/>
      </c>
      <c r="Y1467" s="43" t="str">
        <f t="shared" si="448"/>
        <v/>
      </c>
    </row>
    <row r="1468" spans="1:25" hidden="1">
      <c r="A1468" s="155" t="s">
        <v>183</v>
      </c>
      <c r="B1468" s="156"/>
      <c r="C1468" s="411" t="s">
        <v>323</v>
      </c>
      <c r="D1468" s="351"/>
      <c r="E1468" s="405">
        <v>30</v>
      </c>
      <c r="F1468" s="406">
        <f>VLOOKUP(C1465,'ENSAIOS DE ORÇAMENTO'!$C$3:$L$79,6,FALSE)</f>
        <v>0.43353936000000004</v>
      </c>
      <c r="G1468" s="158">
        <f t="shared" si="451"/>
        <v>8.3456326800000014</v>
      </c>
      <c r="H1468" s="465"/>
      <c r="I1468" s="465"/>
      <c r="J1468" s="407">
        <f t="shared" si="447"/>
        <v>0</v>
      </c>
      <c r="K1468" s="408"/>
      <c r="L1468" s="152">
        <v>0</v>
      </c>
      <c r="M1468" s="213"/>
      <c r="N1468" s="402">
        <f t="shared" si="427"/>
        <v>0</v>
      </c>
      <c r="O1468" s="402">
        <f t="shared" si="428"/>
        <v>0</v>
      </c>
      <c r="P1468" s="403"/>
      <c r="Q1468" s="464"/>
      <c r="R1468" s="464"/>
      <c r="S1468" s="402">
        <f t="shared" si="429"/>
        <v>0</v>
      </c>
      <c r="T1468" s="404">
        <f t="shared" si="422"/>
        <v>0</v>
      </c>
      <c r="U1468" s="403"/>
      <c r="V1468" s="160" t="str">
        <f>IF(T1465&gt;0,"xx",IF(O1465&gt;0,"xy",""))</f>
        <v/>
      </c>
      <c r="W1468" s="43" t="str">
        <f t="shared" si="444"/>
        <v/>
      </c>
      <c r="X1468" s="43" t="str">
        <f t="shared" si="424"/>
        <v/>
      </c>
      <c r="Y1468" s="43" t="str">
        <f t="shared" si="448"/>
        <v/>
      </c>
    </row>
    <row r="1469" spans="1:25" hidden="1">
      <c r="A1469" s="155" t="s">
        <v>183</v>
      </c>
      <c r="B1469" s="156"/>
      <c r="C1469" s="411" t="s">
        <v>511</v>
      </c>
      <c r="D1469" s="351"/>
      <c r="E1469" s="405">
        <v>30</v>
      </c>
      <c r="F1469" s="406">
        <f>VLOOKUP(C1465,'ENSAIOS DE ORÇAMENTO'!$C$3:$L$79,3,FALSE)</f>
        <v>0.37922400000000001</v>
      </c>
      <c r="G1469" s="158">
        <f t="shared" si="451"/>
        <v>7.3000620000000005</v>
      </c>
      <c r="H1469" s="465"/>
      <c r="I1469" s="465"/>
      <c r="J1469" s="407">
        <f t="shared" si="447"/>
        <v>0</v>
      </c>
      <c r="K1469" s="408"/>
      <c r="L1469" s="152">
        <v>0</v>
      </c>
      <c r="M1469" s="213"/>
      <c r="N1469" s="402">
        <f t="shared" si="427"/>
        <v>0</v>
      </c>
      <c r="O1469" s="402">
        <f t="shared" si="428"/>
        <v>0</v>
      </c>
      <c r="P1469" s="403"/>
      <c r="Q1469" s="464"/>
      <c r="R1469" s="464"/>
      <c r="S1469" s="402">
        <f t="shared" si="429"/>
        <v>0</v>
      </c>
      <c r="T1469" s="404">
        <f t="shared" ref="T1469:T1532" si="452">IF(ISBLANK(Q1469),0,ROUND(Q1469*R1469,2))</f>
        <v>0</v>
      </c>
      <c r="U1469" s="403"/>
      <c r="V1469" s="160" t="str">
        <f>IF(T1465&gt;0,"xx",IF(O1465&gt;0,"xy",""))</f>
        <v/>
      </c>
      <c r="W1469" s="43" t="str">
        <f t="shared" si="444"/>
        <v/>
      </c>
      <c r="X1469" s="43" t="str">
        <f t="shared" si="424"/>
        <v/>
      </c>
      <c r="Y1469" s="43" t="str">
        <f t="shared" si="448"/>
        <v/>
      </c>
    </row>
    <row r="1470" spans="1:25" hidden="1">
      <c r="A1470" s="155" t="s">
        <v>183</v>
      </c>
      <c r="B1470" s="156"/>
      <c r="C1470" s="411" t="s">
        <v>512</v>
      </c>
      <c r="D1470" s="351"/>
      <c r="E1470" s="405">
        <v>500</v>
      </c>
      <c r="F1470" s="406">
        <f>VLOOKUP(C1465,'ENSAIOS DE ORÇAMENTO'!$C$3:$L$79,10,FALSE)</f>
        <v>1.371168E-2</v>
      </c>
      <c r="G1470" s="158">
        <f t="shared" ref="G1470" si="453">IF(E1470&lt;=30,(0.42*E1470+3.55)*F1470,((0.42*30+3.55)+0.35*(E1470-30))*F1470)</f>
        <v>2.477014992</v>
      </c>
      <c r="H1470" s="465"/>
      <c r="I1470" s="465"/>
      <c r="J1470" s="407">
        <f t="shared" si="447"/>
        <v>0</v>
      </c>
      <c r="K1470" s="408"/>
      <c r="L1470" s="152">
        <v>0</v>
      </c>
      <c r="M1470" s="213"/>
      <c r="N1470" s="402">
        <f t="shared" si="427"/>
        <v>0</v>
      </c>
      <c r="O1470" s="402">
        <f t="shared" si="428"/>
        <v>0</v>
      </c>
      <c r="P1470" s="403"/>
      <c r="Q1470" s="464"/>
      <c r="R1470" s="464"/>
      <c r="S1470" s="402">
        <f t="shared" si="429"/>
        <v>0</v>
      </c>
      <c r="T1470" s="404">
        <f t="shared" si="452"/>
        <v>0</v>
      </c>
      <c r="U1470" s="403"/>
      <c r="V1470" s="160" t="str">
        <f>IF(T1465&gt;0,"xx",IF(O1465&gt;0,"xy",""))</f>
        <v/>
      </c>
      <c r="W1470" s="43" t="str">
        <f t="shared" si="444"/>
        <v/>
      </c>
      <c r="X1470" s="43" t="str">
        <f t="shared" si="424"/>
        <v/>
      </c>
      <c r="Y1470" s="43" t="str">
        <f t="shared" si="448"/>
        <v/>
      </c>
    </row>
    <row r="1471" spans="1:25" hidden="1">
      <c r="A1471" s="155" t="s">
        <v>40</v>
      </c>
      <c r="B1471" s="156" t="s">
        <v>242</v>
      </c>
      <c r="C1471" s="411" t="s">
        <v>76</v>
      </c>
      <c r="D1471" s="351"/>
      <c r="E1471" s="405"/>
      <c r="F1471" s="406"/>
      <c r="G1471" s="158">
        <f>SUM(G1472:G1476)</f>
        <v>168.80743780800003</v>
      </c>
      <c r="H1471" s="465">
        <f>VLOOKUP(C1471,'ENSAIOS DE ORÇAMENTO'!$C$3:$L$79,8,FALSE)</f>
        <v>728.65157802666658</v>
      </c>
      <c r="I1471" s="465">
        <f>IF(ISBLANK(H1471),"",SUM(G1471:H1471))</f>
        <v>897.45901583466662</v>
      </c>
      <c r="J1471" s="407">
        <f t="shared" si="447"/>
        <v>1137.98</v>
      </c>
      <c r="K1471" s="408" t="s">
        <v>23</v>
      </c>
      <c r="L1471" s="152">
        <v>0</v>
      </c>
      <c r="M1471" s="152"/>
      <c r="N1471" s="402">
        <f t="shared" si="427"/>
        <v>0</v>
      </c>
      <c r="O1471" s="402">
        <f t="shared" si="428"/>
        <v>0</v>
      </c>
      <c r="P1471" s="403"/>
      <c r="Q1471" s="152">
        <f t="shared" si="437"/>
        <v>0</v>
      </c>
      <c r="R1471" s="152">
        <f t="shared" si="437"/>
        <v>0</v>
      </c>
      <c r="S1471" s="402">
        <f t="shared" si="429"/>
        <v>0</v>
      </c>
      <c r="T1471" s="404">
        <f t="shared" si="452"/>
        <v>0</v>
      </c>
      <c r="U1471" s="403"/>
      <c r="W1471" s="43" t="str">
        <f t="shared" si="444"/>
        <v/>
      </c>
      <c r="X1471" s="43" t="str">
        <f t="shared" ref="X1471:X1534" si="454">IF(V1471="X","x",IF(V1471="y","x",IF(V1471="xx","x",IF(T1471&gt;0,"x",""))))</f>
        <v/>
      </c>
      <c r="Y1471" s="43" t="str">
        <f t="shared" si="448"/>
        <v/>
      </c>
    </row>
    <row r="1472" spans="1:25" hidden="1">
      <c r="A1472" s="155" t="s">
        <v>183</v>
      </c>
      <c r="B1472" s="156"/>
      <c r="C1472" s="411" t="s">
        <v>251</v>
      </c>
      <c r="D1472" s="351"/>
      <c r="E1472" s="405">
        <v>500</v>
      </c>
      <c r="F1472" s="406">
        <f>VLOOKUP(C1471,'ENSAIOS DE ORÇAMENTO'!$C$3:$L$79,4,FALSE)</f>
        <v>0.24370624000000002</v>
      </c>
      <c r="G1472" s="158">
        <f>IF(E1472&lt;=30,(0.42*E1472+3.55)*F1472,((0.42*30+3.55)+0.35*(E1472-30))*F1472)</f>
        <v>44.025532256000005</v>
      </c>
      <c r="H1472" s="465"/>
      <c r="I1472" s="465"/>
      <c r="J1472" s="407">
        <f t="shared" si="447"/>
        <v>0</v>
      </c>
      <c r="K1472" s="408"/>
      <c r="L1472" s="152">
        <v>0</v>
      </c>
      <c r="M1472" s="213"/>
      <c r="N1472" s="402">
        <f t="shared" si="427"/>
        <v>0</v>
      </c>
      <c r="O1472" s="402">
        <f t="shared" si="428"/>
        <v>0</v>
      </c>
      <c r="P1472" s="403"/>
      <c r="Q1472" s="464"/>
      <c r="R1472" s="464"/>
      <c r="S1472" s="402">
        <f t="shared" si="429"/>
        <v>0</v>
      </c>
      <c r="T1472" s="404">
        <f t="shared" si="452"/>
        <v>0</v>
      </c>
      <c r="U1472" s="403"/>
      <c r="V1472" s="160" t="str">
        <f>IF(T1471&gt;0,"xx",IF(O1471&gt;0,"xy",""))</f>
        <v/>
      </c>
      <c r="W1472" s="43" t="str">
        <f t="shared" si="444"/>
        <v/>
      </c>
      <c r="X1472" s="43" t="str">
        <f t="shared" si="454"/>
        <v/>
      </c>
      <c r="Y1472" s="43" t="str">
        <f t="shared" si="448"/>
        <v/>
      </c>
    </row>
    <row r="1473" spans="1:25" hidden="1">
      <c r="A1473" s="155" t="s">
        <v>183</v>
      </c>
      <c r="B1473" s="156"/>
      <c r="C1473" s="411" t="s">
        <v>314</v>
      </c>
      <c r="D1473" s="351"/>
      <c r="E1473" s="405">
        <v>180</v>
      </c>
      <c r="F1473" s="406">
        <f>VLOOKUP(C1471,'ENSAIOS DE ORÇAMENTO'!$C$3:$L$79,5,FALSE)</f>
        <v>0.97291001600000004</v>
      </c>
      <c r="G1473" s="158">
        <f t="shared" ref="G1473:G1475" si="455">IF(E1473&lt;=30,(0.6*E1473+1.25)*F1473,((0.6*30+1.25)+0.5*(E1473-30))*F1473)</f>
        <v>91.696769008000004</v>
      </c>
      <c r="H1473" s="465"/>
      <c r="I1473" s="465"/>
      <c r="J1473" s="407">
        <f t="shared" si="447"/>
        <v>0</v>
      </c>
      <c r="K1473" s="408"/>
      <c r="L1473" s="152">
        <v>0</v>
      </c>
      <c r="M1473" s="213"/>
      <c r="N1473" s="402">
        <f t="shared" si="427"/>
        <v>0</v>
      </c>
      <c r="O1473" s="402">
        <f t="shared" si="428"/>
        <v>0</v>
      </c>
      <c r="P1473" s="403"/>
      <c r="Q1473" s="464"/>
      <c r="R1473" s="464"/>
      <c r="S1473" s="402">
        <f t="shared" si="429"/>
        <v>0</v>
      </c>
      <c r="T1473" s="404">
        <f t="shared" si="452"/>
        <v>0</v>
      </c>
      <c r="U1473" s="403"/>
      <c r="V1473" s="160" t="str">
        <f>IF(T1471&gt;0,"xx",IF(O1471&gt;0,"xy",""))</f>
        <v/>
      </c>
      <c r="W1473" s="43" t="str">
        <f t="shared" si="444"/>
        <v/>
      </c>
      <c r="X1473" s="43" t="str">
        <f t="shared" si="454"/>
        <v/>
      </c>
      <c r="Y1473" s="43" t="str">
        <f t="shared" si="448"/>
        <v/>
      </c>
    </row>
    <row r="1474" spans="1:25" hidden="1">
      <c r="A1474" s="155" t="s">
        <v>183</v>
      </c>
      <c r="B1474" s="156"/>
      <c r="C1474" s="411" t="s">
        <v>323</v>
      </c>
      <c r="D1474" s="351"/>
      <c r="E1474" s="405">
        <v>20</v>
      </c>
      <c r="F1474" s="406">
        <f>VLOOKUP(C1471,'ENSAIOS DE ORÇAMENTO'!$C$3:$L$79,6,FALSE)</f>
        <v>0.70038336000000012</v>
      </c>
      <c r="G1474" s="158">
        <f t="shared" si="455"/>
        <v>9.280079520000001</v>
      </c>
      <c r="H1474" s="465"/>
      <c r="I1474" s="465"/>
      <c r="J1474" s="407">
        <f t="shared" si="447"/>
        <v>0</v>
      </c>
      <c r="K1474" s="408"/>
      <c r="L1474" s="152">
        <v>0</v>
      </c>
      <c r="M1474" s="213"/>
      <c r="N1474" s="402">
        <f t="shared" si="427"/>
        <v>0</v>
      </c>
      <c r="O1474" s="402">
        <f t="shared" si="428"/>
        <v>0</v>
      </c>
      <c r="P1474" s="403"/>
      <c r="Q1474" s="464"/>
      <c r="R1474" s="464"/>
      <c r="S1474" s="402">
        <f t="shared" si="429"/>
        <v>0</v>
      </c>
      <c r="T1474" s="404">
        <f t="shared" si="452"/>
        <v>0</v>
      </c>
      <c r="U1474" s="403"/>
      <c r="V1474" s="160" t="str">
        <f>IF(T1471&gt;0,"xx",IF(O1471&gt;0,"xy",""))</f>
        <v/>
      </c>
      <c r="W1474" s="43" t="str">
        <f t="shared" si="444"/>
        <v/>
      </c>
      <c r="X1474" s="43" t="str">
        <f t="shared" si="454"/>
        <v/>
      </c>
      <c r="Y1474" s="43" t="str">
        <f t="shared" si="448"/>
        <v/>
      </c>
    </row>
    <row r="1475" spans="1:25" hidden="1">
      <c r="A1475" s="155" t="s">
        <v>183</v>
      </c>
      <c r="B1475" s="156"/>
      <c r="C1475" s="411" t="s">
        <v>511</v>
      </c>
      <c r="D1475" s="351"/>
      <c r="E1475" s="405">
        <v>30</v>
      </c>
      <c r="F1475" s="406">
        <f>VLOOKUP(C1471,'ENSAIOS DE ORÇAMENTO'!$C$3:$L$79,3,FALSE)</f>
        <v>0.92332800000000004</v>
      </c>
      <c r="G1475" s="158">
        <f t="shared" si="455"/>
        <v>17.774063999999999</v>
      </c>
      <c r="H1475" s="465"/>
      <c r="I1475" s="465"/>
      <c r="J1475" s="407">
        <f t="shared" si="447"/>
        <v>0</v>
      </c>
      <c r="K1475" s="408"/>
      <c r="L1475" s="152">
        <v>0</v>
      </c>
      <c r="M1475" s="213"/>
      <c r="N1475" s="402">
        <f t="shared" si="427"/>
        <v>0</v>
      </c>
      <c r="O1475" s="402">
        <f t="shared" si="428"/>
        <v>0</v>
      </c>
      <c r="P1475" s="403"/>
      <c r="Q1475" s="464"/>
      <c r="R1475" s="464"/>
      <c r="S1475" s="402">
        <f t="shared" si="429"/>
        <v>0</v>
      </c>
      <c r="T1475" s="404">
        <f t="shared" si="452"/>
        <v>0</v>
      </c>
      <c r="U1475" s="403"/>
      <c r="V1475" s="160" t="str">
        <f>IF(T1471&gt;0,"xx",IF(O1471&gt;0,"xy",""))</f>
        <v/>
      </c>
      <c r="W1475" s="43" t="str">
        <f t="shared" si="444"/>
        <v/>
      </c>
      <c r="X1475" s="43" t="str">
        <f t="shared" si="454"/>
        <v/>
      </c>
      <c r="Y1475" s="43" t="str">
        <f t="shared" si="448"/>
        <v/>
      </c>
    </row>
    <row r="1476" spans="1:25" hidden="1">
      <c r="A1476" s="155" t="s">
        <v>183</v>
      </c>
      <c r="B1476" s="156"/>
      <c r="C1476" s="411" t="s">
        <v>512</v>
      </c>
      <c r="D1476" s="351"/>
      <c r="E1476" s="405">
        <v>500</v>
      </c>
      <c r="F1476" s="406">
        <f>VLOOKUP(C1471,'ENSAIOS DE ORÇAMENTO'!$C$3:$L$79,10,FALSE)</f>
        <v>3.3384959999999998E-2</v>
      </c>
      <c r="G1476" s="158">
        <f t="shared" ref="G1476" si="456">IF(E1476&lt;=30,(0.42*E1476+3.55)*F1476,((0.42*30+3.55)+0.35*(E1476-30))*F1476)</f>
        <v>6.0309930239999998</v>
      </c>
      <c r="H1476" s="465"/>
      <c r="I1476" s="465"/>
      <c r="J1476" s="407">
        <f t="shared" si="447"/>
        <v>0</v>
      </c>
      <c r="K1476" s="408"/>
      <c r="L1476" s="152">
        <v>0</v>
      </c>
      <c r="M1476" s="213"/>
      <c r="N1476" s="402">
        <f t="shared" si="427"/>
        <v>0</v>
      </c>
      <c r="O1476" s="402">
        <f t="shared" si="428"/>
        <v>0</v>
      </c>
      <c r="P1476" s="403"/>
      <c r="Q1476" s="464"/>
      <c r="R1476" s="464"/>
      <c r="S1476" s="402">
        <f t="shared" si="429"/>
        <v>0</v>
      </c>
      <c r="T1476" s="404">
        <f t="shared" si="452"/>
        <v>0</v>
      </c>
      <c r="U1476" s="403"/>
      <c r="V1476" s="160" t="str">
        <f>IF(T1471&gt;0,"xx",IF(O1471&gt;0,"xy",""))</f>
        <v/>
      </c>
      <c r="W1476" s="43" t="str">
        <f t="shared" si="444"/>
        <v/>
      </c>
      <c r="X1476" s="43" t="str">
        <f t="shared" si="454"/>
        <v/>
      </c>
      <c r="Y1476" s="43" t="str">
        <f t="shared" si="448"/>
        <v/>
      </c>
    </row>
    <row r="1477" spans="1:25" hidden="1">
      <c r="A1477" s="155" t="s">
        <v>41</v>
      </c>
      <c r="B1477" s="156" t="s">
        <v>242</v>
      </c>
      <c r="C1477" s="411" t="s">
        <v>77</v>
      </c>
      <c r="D1477" s="351"/>
      <c r="E1477" s="405"/>
      <c r="F1477" s="406"/>
      <c r="G1477" s="158">
        <f>SUM(G1478:G1482)</f>
        <v>221.27302883199999</v>
      </c>
      <c r="H1477" s="465">
        <f>VLOOKUP(C1477,'ENSAIOS DE ORÇAMENTO'!$C$3:$L$79,8,FALSE)</f>
        <v>946.77245445333324</v>
      </c>
      <c r="I1477" s="465">
        <f>IF(ISBLANK(H1477),"",SUM(G1477:H1477))</f>
        <v>1168.0454832853331</v>
      </c>
      <c r="J1477" s="407">
        <f t="shared" si="447"/>
        <v>1481.08</v>
      </c>
      <c r="K1477" s="408" t="s">
        <v>23</v>
      </c>
      <c r="L1477" s="152">
        <v>0</v>
      </c>
      <c r="M1477" s="152"/>
      <c r="N1477" s="402">
        <f t="shared" si="427"/>
        <v>0</v>
      </c>
      <c r="O1477" s="402">
        <f t="shared" si="428"/>
        <v>0</v>
      </c>
      <c r="P1477" s="403"/>
      <c r="Q1477" s="152">
        <f t="shared" si="437"/>
        <v>0</v>
      </c>
      <c r="R1477" s="152">
        <f t="shared" si="437"/>
        <v>0</v>
      </c>
      <c r="S1477" s="402">
        <f t="shared" si="429"/>
        <v>0</v>
      </c>
      <c r="T1477" s="404">
        <f t="shared" si="452"/>
        <v>0</v>
      </c>
      <c r="U1477" s="403"/>
      <c r="W1477" s="43" t="str">
        <f t="shared" si="444"/>
        <v/>
      </c>
      <c r="X1477" s="43" t="str">
        <f t="shared" si="454"/>
        <v/>
      </c>
      <c r="Y1477" s="43" t="str">
        <f t="shared" si="448"/>
        <v/>
      </c>
    </row>
    <row r="1478" spans="1:25" hidden="1">
      <c r="A1478" s="155" t="s">
        <v>183</v>
      </c>
      <c r="B1478" s="156"/>
      <c r="C1478" s="411" t="s">
        <v>251</v>
      </c>
      <c r="D1478" s="351"/>
      <c r="E1478" s="405">
        <v>500</v>
      </c>
      <c r="F1478" s="406">
        <f>VLOOKUP(C1477,'ENSAIOS DE ORÇAMENTO'!$C$3:$L$79,4,FALSE)</f>
        <v>0.3141968</v>
      </c>
      <c r="G1478" s="158">
        <f>IF(E1478&lt;=30,(0.42*E1478+3.55)*F1478,((0.42*30+3.55)+0.35*(E1478-30))*F1478)</f>
        <v>56.759651920000003</v>
      </c>
      <c r="H1478" s="465"/>
      <c r="I1478" s="465"/>
      <c r="J1478" s="407">
        <f t="shared" si="447"/>
        <v>0</v>
      </c>
      <c r="K1478" s="408"/>
      <c r="L1478" s="152">
        <v>0</v>
      </c>
      <c r="M1478" s="213"/>
      <c r="N1478" s="402">
        <f t="shared" ref="N1478:N1541" si="457">IF(ISBLANK(L1478),0,ROUND(J1478*L1478,2))</f>
        <v>0</v>
      </c>
      <c r="O1478" s="402">
        <f t="shared" ref="O1478:O1541" si="458">IF(ISBLANK(M1478),0,ROUND(L1478*M1478,2))</f>
        <v>0</v>
      </c>
      <c r="P1478" s="403"/>
      <c r="Q1478" s="464"/>
      <c r="R1478" s="464"/>
      <c r="S1478" s="402">
        <f t="shared" ref="S1478:S1541" si="459">IF(ISBLANK(Q1478),0,ROUND(J1478*Q1478,2))</f>
        <v>0</v>
      </c>
      <c r="T1478" s="404">
        <f t="shared" si="452"/>
        <v>0</v>
      </c>
      <c r="U1478" s="403"/>
      <c r="V1478" s="160" t="str">
        <f>IF(T1477&gt;0,"xx",IF(O1477&gt;0,"xy",""))</f>
        <v/>
      </c>
      <c r="W1478" s="43" t="str">
        <f t="shared" si="444"/>
        <v/>
      </c>
      <c r="X1478" s="43" t="str">
        <f t="shared" si="454"/>
        <v/>
      </c>
      <c r="Y1478" s="43" t="str">
        <f t="shared" si="448"/>
        <v/>
      </c>
    </row>
    <row r="1479" spans="1:25" hidden="1">
      <c r="A1479" s="155" t="s">
        <v>183</v>
      </c>
      <c r="B1479" s="156"/>
      <c r="C1479" s="411" t="s">
        <v>314</v>
      </c>
      <c r="D1479" s="351"/>
      <c r="E1479" s="405">
        <v>180</v>
      </c>
      <c r="F1479" s="406">
        <f>VLOOKUP(C1477,'ENSAIOS DE ORÇAMENTO'!$C$3:$L$79,5,FALSE)</f>
        <v>1.2759149119999997</v>
      </c>
      <c r="G1479" s="158">
        <f t="shared" ref="G1479:G1481" si="460">IF(E1479&lt;=30,(0.6*E1479+1.25)*F1479,((0.6*30+1.25)+0.5*(E1479-30))*F1479)</f>
        <v>120.25498045599997</v>
      </c>
      <c r="H1479" s="465"/>
      <c r="I1479" s="465"/>
      <c r="J1479" s="407">
        <f t="shared" si="447"/>
        <v>0</v>
      </c>
      <c r="K1479" s="408"/>
      <c r="L1479" s="152">
        <v>0</v>
      </c>
      <c r="M1479" s="213"/>
      <c r="N1479" s="402">
        <f t="shared" si="457"/>
        <v>0</v>
      </c>
      <c r="O1479" s="402">
        <f t="shared" si="458"/>
        <v>0</v>
      </c>
      <c r="P1479" s="403"/>
      <c r="Q1479" s="464"/>
      <c r="R1479" s="464"/>
      <c r="S1479" s="402">
        <f t="shared" si="459"/>
        <v>0</v>
      </c>
      <c r="T1479" s="404">
        <f t="shared" si="452"/>
        <v>0</v>
      </c>
      <c r="U1479" s="403"/>
      <c r="V1479" s="160" t="str">
        <f>IF(T1477&gt;0,"xx",IF(O1477&gt;0,"xy",""))</f>
        <v/>
      </c>
      <c r="W1479" s="43" t="str">
        <f t="shared" si="444"/>
        <v/>
      </c>
      <c r="X1479" s="43" t="str">
        <f t="shared" si="454"/>
        <v/>
      </c>
      <c r="Y1479" s="43" t="str">
        <f t="shared" si="448"/>
        <v/>
      </c>
    </row>
    <row r="1480" spans="1:25" hidden="1">
      <c r="A1480" s="155" t="s">
        <v>183</v>
      </c>
      <c r="B1480" s="156"/>
      <c r="C1480" s="411" t="s">
        <v>323</v>
      </c>
      <c r="D1480" s="351"/>
      <c r="E1480" s="405">
        <v>20</v>
      </c>
      <c r="F1480" s="406">
        <f>VLOOKUP(C1477,'ENSAIOS DE ORÇAMENTO'!$C$3:$L$79,6,FALSE)</f>
        <v>0.89487311999999997</v>
      </c>
      <c r="G1480" s="158">
        <f t="shared" si="460"/>
        <v>11.85706884</v>
      </c>
      <c r="H1480" s="465"/>
      <c r="I1480" s="465"/>
      <c r="J1480" s="407">
        <f t="shared" si="447"/>
        <v>0</v>
      </c>
      <c r="K1480" s="408"/>
      <c r="L1480" s="152">
        <v>0</v>
      </c>
      <c r="M1480" s="213"/>
      <c r="N1480" s="402">
        <f t="shared" si="457"/>
        <v>0</v>
      </c>
      <c r="O1480" s="402">
        <f t="shared" si="458"/>
        <v>0</v>
      </c>
      <c r="P1480" s="403"/>
      <c r="Q1480" s="464"/>
      <c r="R1480" s="464"/>
      <c r="S1480" s="402">
        <f t="shared" si="459"/>
        <v>0</v>
      </c>
      <c r="T1480" s="404">
        <f t="shared" si="452"/>
        <v>0</v>
      </c>
      <c r="U1480" s="403"/>
      <c r="V1480" s="160" t="str">
        <f>IF(T1477&gt;0,"xx",IF(O1477&gt;0,"xy",""))</f>
        <v/>
      </c>
      <c r="W1480" s="43" t="str">
        <f t="shared" si="444"/>
        <v/>
      </c>
      <c r="X1480" s="43" t="str">
        <f t="shared" si="454"/>
        <v/>
      </c>
      <c r="Y1480" s="43" t="str">
        <f t="shared" si="448"/>
        <v/>
      </c>
    </row>
    <row r="1481" spans="1:25" hidden="1">
      <c r="A1481" s="155" t="s">
        <v>183</v>
      </c>
      <c r="B1481" s="156"/>
      <c r="C1481" s="411" t="s">
        <v>511</v>
      </c>
      <c r="D1481" s="351"/>
      <c r="E1481" s="405">
        <v>30</v>
      </c>
      <c r="F1481" s="406">
        <f>VLOOKUP(C1477,'ENSAIOS DE ORÇAMENTO'!$C$3:$L$79,3,FALSE)</f>
        <v>1.2567519999999999</v>
      </c>
      <c r="G1481" s="158">
        <f t="shared" si="460"/>
        <v>24.192475999999999</v>
      </c>
      <c r="H1481" s="465"/>
      <c r="I1481" s="465"/>
      <c r="J1481" s="407">
        <f t="shared" si="447"/>
        <v>0</v>
      </c>
      <c r="K1481" s="408"/>
      <c r="L1481" s="152">
        <v>0</v>
      </c>
      <c r="M1481" s="213"/>
      <c r="N1481" s="402">
        <f t="shared" si="457"/>
        <v>0</v>
      </c>
      <c r="O1481" s="402">
        <f t="shared" si="458"/>
        <v>0</v>
      </c>
      <c r="P1481" s="403"/>
      <c r="Q1481" s="464"/>
      <c r="R1481" s="464"/>
      <c r="S1481" s="402">
        <f t="shared" si="459"/>
        <v>0</v>
      </c>
      <c r="T1481" s="404">
        <f t="shared" si="452"/>
        <v>0</v>
      </c>
      <c r="U1481" s="403"/>
      <c r="V1481" s="160" t="str">
        <f>IF(T1477&gt;0,"xx",IF(O1477&gt;0,"xy",""))</f>
        <v/>
      </c>
      <c r="W1481" s="43" t="str">
        <f t="shared" si="444"/>
        <v/>
      </c>
      <c r="X1481" s="43" t="str">
        <f t="shared" si="454"/>
        <v/>
      </c>
      <c r="Y1481" s="43" t="str">
        <f t="shared" si="448"/>
        <v/>
      </c>
    </row>
    <row r="1482" spans="1:25" hidden="1">
      <c r="A1482" s="155" t="s">
        <v>183</v>
      </c>
      <c r="B1482" s="156"/>
      <c r="C1482" s="411" t="s">
        <v>512</v>
      </c>
      <c r="D1482" s="351"/>
      <c r="E1482" s="405">
        <v>500</v>
      </c>
      <c r="F1482" s="406">
        <f>VLOOKUP(C1477,'ENSAIOS DE ORÇAMENTO'!$C$3:$L$79,10,FALSE)</f>
        <v>4.5440639999999997E-2</v>
      </c>
      <c r="G1482" s="158">
        <f t="shared" ref="G1482" si="461">IF(E1482&lt;=30,(0.42*E1482+3.55)*F1482,((0.42*30+3.55)+0.35*(E1482-30))*F1482)</f>
        <v>8.2088516160000005</v>
      </c>
      <c r="H1482" s="465"/>
      <c r="I1482" s="465"/>
      <c r="J1482" s="407">
        <f t="shared" si="447"/>
        <v>0</v>
      </c>
      <c r="K1482" s="408"/>
      <c r="L1482" s="152">
        <v>0</v>
      </c>
      <c r="M1482" s="213"/>
      <c r="N1482" s="402">
        <f t="shared" si="457"/>
        <v>0</v>
      </c>
      <c r="O1482" s="402">
        <f t="shared" si="458"/>
        <v>0</v>
      </c>
      <c r="P1482" s="403"/>
      <c r="Q1482" s="464"/>
      <c r="R1482" s="464"/>
      <c r="S1482" s="402">
        <f t="shared" si="459"/>
        <v>0</v>
      </c>
      <c r="T1482" s="404">
        <f t="shared" si="452"/>
        <v>0</v>
      </c>
      <c r="U1482" s="403"/>
      <c r="V1482" s="160" t="str">
        <f>IF(T1477&gt;0,"xx",IF(O1477&gt;0,"xy",""))</f>
        <v/>
      </c>
      <c r="W1482" s="43" t="str">
        <f t="shared" si="444"/>
        <v/>
      </c>
      <c r="X1482" s="43" t="str">
        <f t="shared" si="454"/>
        <v/>
      </c>
      <c r="Y1482" s="43" t="str">
        <f t="shared" si="448"/>
        <v/>
      </c>
    </row>
    <row r="1483" spans="1:25" hidden="1">
      <c r="A1483" s="155" t="s">
        <v>42</v>
      </c>
      <c r="B1483" s="156" t="s">
        <v>242</v>
      </c>
      <c r="C1483" s="411" t="s">
        <v>78</v>
      </c>
      <c r="D1483" s="351"/>
      <c r="E1483" s="405"/>
      <c r="F1483" s="406"/>
      <c r="G1483" s="158">
        <f>SUM(G1484:G1488)</f>
        <v>305.82957900880007</v>
      </c>
      <c r="H1483" s="465">
        <f>VLOOKUP(C1483,'ENSAIOS DE ORÇAMENTO'!$C$3:$L$79,8,FALSE)</f>
        <v>1301.1379527466668</v>
      </c>
      <c r="I1483" s="465">
        <f>IF(ISBLANK(H1483),"",SUM(G1483:H1483))</f>
        <v>1606.9675317554668</v>
      </c>
      <c r="J1483" s="407">
        <f t="shared" si="447"/>
        <v>2037.63</v>
      </c>
      <c r="K1483" s="408" t="s">
        <v>23</v>
      </c>
      <c r="L1483" s="152">
        <v>0</v>
      </c>
      <c r="M1483" s="152"/>
      <c r="N1483" s="402">
        <f t="shared" si="457"/>
        <v>0</v>
      </c>
      <c r="O1483" s="402">
        <f t="shared" si="458"/>
        <v>0</v>
      </c>
      <c r="P1483" s="403"/>
      <c r="Q1483" s="152">
        <f t="shared" si="437"/>
        <v>0</v>
      </c>
      <c r="R1483" s="152">
        <f t="shared" si="437"/>
        <v>0</v>
      </c>
      <c r="S1483" s="402">
        <f t="shared" si="459"/>
        <v>0</v>
      </c>
      <c r="T1483" s="404">
        <f t="shared" si="452"/>
        <v>0</v>
      </c>
      <c r="U1483" s="403"/>
      <c r="W1483" s="43" t="str">
        <f t="shared" si="444"/>
        <v/>
      </c>
      <c r="X1483" s="43" t="str">
        <f t="shared" si="454"/>
        <v/>
      </c>
      <c r="Y1483" s="43" t="str">
        <f t="shared" si="448"/>
        <v/>
      </c>
    </row>
    <row r="1484" spans="1:25" hidden="1">
      <c r="A1484" s="155" t="s">
        <v>183</v>
      </c>
      <c r="B1484" s="156"/>
      <c r="C1484" s="411" t="s">
        <v>251</v>
      </c>
      <c r="D1484" s="351"/>
      <c r="E1484" s="405">
        <v>500</v>
      </c>
      <c r="F1484" s="406">
        <f>VLOOKUP(C1483,'ENSAIOS DE ORÇAMENTO'!$C$3:$L$79,4,FALSE)</f>
        <v>0.42857449600000003</v>
      </c>
      <c r="G1484" s="158">
        <f>IF(E1484&lt;=30,(0.42*E1484+3.55)*F1484,((0.42*30+3.55)+0.35*(E1484-30))*F1484)</f>
        <v>77.421982702400001</v>
      </c>
      <c r="H1484" s="465"/>
      <c r="I1484" s="465"/>
      <c r="J1484" s="407">
        <f t="shared" si="447"/>
        <v>0</v>
      </c>
      <c r="K1484" s="408"/>
      <c r="L1484" s="152">
        <v>0</v>
      </c>
      <c r="M1484" s="213"/>
      <c r="N1484" s="402">
        <f t="shared" si="457"/>
        <v>0</v>
      </c>
      <c r="O1484" s="402">
        <f t="shared" si="458"/>
        <v>0</v>
      </c>
      <c r="P1484" s="403"/>
      <c r="Q1484" s="464"/>
      <c r="R1484" s="464"/>
      <c r="S1484" s="402">
        <f t="shared" si="459"/>
        <v>0</v>
      </c>
      <c r="T1484" s="404">
        <f t="shared" si="452"/>
        <v>0</v>
      </c>
      <c r="U1484" s="403"/>
      <c r="V1484" s="160" t="str">
        <f>IF(T1483&gt;0,"xx",IF(O1483&gt;0,"xy",""))</f>
        <v/>
      </c>
      <c r="W1484" s="43" t="str">
        <f t="shared" si="444"/>
        <v/>
      </c>
      <c r="X1484" s="43" t="str">
        <f t="shared" si="454"/>
        <v/>
      </c>
      <c r="Y1484" s="43" t="str">
        <f t="shared" si="448"/>
        <v/>
      </c>
    </row>
    <row r="1485" spans="1:25" hidden="1">
      <c r="A1485" s="155" t="s">
        <v>183</v>
      </c>
      <c r="B1485" s="156"/>
      <c r="C1485" s="411" t="s">
        <v>314</v>
      </c>
      <c r="D1485" s="351"/>
      <c r="E1485" s="405">
        <v>180</v>
      </c>
      <c r="F1485" s="406">
        <f>VLOOKUP(C1483,'ENSAIOS DE ORÇAMENTO'!$C$3:$L$79,5,FALSE)</f>
        <v>1.7643028000000003</v>
      </c>
      <c r="G1485" s="158">
        <f t="shared" ref="G1485:G1487" si="462">IF(E1485&lt;=30,(0.6*E1485+1.25)*F1485,((0.6*30+1.25)+0.5*(E1485-30))*F1485)</f>
        <v>166.28553890000003</v>
      </c>
      <c r="H1485" s="465"/>
      <c r="I1485" s="465"/>
      <c r="J1485" s="407">
        <f t="shared" si="447"/>
        <v>0</v>
      </c>
      <c r="K1485" s="408"/>
      <c r="L1485" s="152">
        <v>0</v>
      </c>
      <c r="M1485" s="213"/>
      <c r="N1485" s="402">
        <f t="shared" si="457"/>
        <v>0</v>
      </c>
      <c r="O1485" s="402">
        <f t="shared" si="458"/>
        <v>0</v>
      </c>
      <c r="P1485" s="403"/>
      <c r="Q1485" s="464"/>
      <c r="R1485" s="464"/>
      <c r="S1485" s="402">
        <f t="shared" si="459"/>
        <v>0</v>
      </c>
      <c r="T1485" s="404">
        <f t="shared" si="452"/>
        <v>0</v>
      </c>
      <c r="U1485" s="403"/>
      <c r="V1485" s="160" t="str">
        <f>IF(T1483&gt;0,"xx",IF(O1483&gt;0,"xy",""))</f>
        <v/>
      </c>
      <c r="W1485" s="43" t="str">
        <f t="shared" si="444"/>
        <v/>
      </c>
      <c r="X1485" s="43" t="str">
        <f t="shared" si="454"/>
        <v/>
      </c>
      <c r="Y1485" s="43" t="str">
        <f t="shared" si="448"/>
        <v/>
      </c>
    </row>
    <row r="1486" spans="1:25" hidden="1">
      <c r="A1486" s="155" t="s">
        <v>183</v>
      </c>
      <c r="B1486" s="156"/>
      <c r="C1486" s="411" t="s">
        <v>323</v>
      </c>
      <c r="D1486" s="351"/>
      <c r="E1486" s="405">
        <v>20</v>
      </c>
      <c r="F1486" s="406">
        <f>VLOOKUP(C1483,'ENSAIOS DE ORÇAMENTO'!$C$3:$L$79,6,FALSE)</f>
        <v>1.2150148800000002</v>
      </c>
      <c r="G1486" s="158">
        <f t="shared" si="462"/>
        <v>16.098947160000002</v>
      </c>
      <c r="H1486" s="465"/>
      <c r="I1486" s="465"/>
      <c r="J1486" s="407">
        <f t="shared" si="447"/>
        <v>0</v>
      </c>
      <c r="K1486" s="408"/>
      <c r="L1486" s="152">
        <v>0</v>
      </c>
      <c r="M1486" s="213"/>
      <c r="N1486" s="402">
        <f t="shared" si="457"/>
        <v>0</v>
      </c>
      <c r="O1486" s="402">
        <f t="shared" si="458"/>
        <v>0</v>
      </c>
      <c r="P1486" s="403"/>
      <c r="Q1486" s="464"/>
      <c r="R1486" s="464"/>
      <c r="S1486" s="402">
        <f t="shared" si="459"/>
        <v>0</v>
      </c>
      <c r="T1486" s="404">
        <f t="shared" si="452"/>
        <v>0</v>
      </c>
      <c r="U1486" s="403"/>
      <c r="V1486" s="160" t="str">
        <f>IF(T1483&gt;0,"xx",IF(O1483&gt;0,"xy",""))</f>
        <v/>
      </c>
      <c r="W1486" s="43" t="str">
        <f t="shared" si="444"/>
        <v/>
      </c>
      <c r="X1486" s="43" t="str">
        <f t="shared" si="454"/>
        <v/>
      </c>
      <c r="Y1486" s="43" t="str">
        <f t="shared" si="448"/>
        <v/>
      </c>
    </row>
    <row r="1487" spans="1:25" hidden="1">
      <c r="A1487" s="155" t="s">
        <v>183</v>
      </c>
      <c r="B1487" s="156"/>
      <c r="C1487" s="411" t="s">
        <v>511</v>
      </c>
      <c r="D1487" s="351"/>
      <c r="E1487" s="405">
        <v>30</v>
      </c>
      <c r="F1487" s="406">
        <f>VLOOKUP(C1483,'ENSAIOS DE ORÇAMENTO'!$C$3:$L$79,3,FALSE)</f>
        <v>1.7851008000000002</v>
      </c>
      <c r="G1487" s="158">
        <f t="shared" si="462"/>
        <v>34.363190400000001</v>
      </c>
      <c r="H1487" s="465"/>
      <c r="I1487" s="465"/>
      <c r="J1487" s="407">
        <f t="shared" si="447"/>
        <v>0</v>
      </c>
      <c r="K1487" s="408"/>
      <c r="L1487" s="152">
        <v>0</v>
      </c>
      <c r="M1487" s="213"/>
      <c r="N1487" s="402">
        <f t="shared" si="457"/>
        <v>0</v>
      </c>
      <c r="O1487" s="402">
        <f t="shared" si="458"/>
        <v>0</v>
      </c>
      <c r="P1487" s="403"/>
      <c r="Q1487" s="464"/>
      <c r="R1487" s="464"/>
      <c r="S1487" s="402">
        <f t="shared" si="459"/>
        <v>0</v>
      </c>
      <c r="T1487" s="404">
        <f t="shared" si="452"/>
        <v>0</v>
      </c>
      <c r="U1487" s="403"/>
      <c r="V1487" s="160" t="str">
        <f>IF(T1483&gt;0,"xx",IF(O1483&gt;0,"xy",""))</f>
        <v/>
      </c>
      <c r="W1487" s="43" t="str">
        <f t="shared" si="444"/>
        <v/>
      </c>
      <c r="X1487" s="43" t="str">
        <f t="shared" si="454"/>
        <v/>
      </c>
      <c r="Y1487" s="43" t="str">
        <f t="shared" si="448"/>
        <v/>
      </c>
    </row>
    <row r="1488" spans="1:25" hidden="1">
      <c r="A1488" s="155" t="s">
        <v>183</v>
      </c>
      <c r="B1488" s="156"/>
      <c r="C1488" s="411" t="s">
        <v>512</v>
      </c>
      <c r="D1488" s="351"/>
      <c r="E1488" s="405">
        <v>500</v>
      </c>
      <c r="F1488" s="406">
        <f>VLOOKUP(C1483,'ENSAIOS DE ORÇAMENTO'!$C$3:$L$79,10,FALSE)</f>
        <v>6.4544256000000008E-2</v>
      </c>
      <c r="G1488" s="158">
        <f t="shared" ref="G1488" si="463">IF(E1488&lt;=30,(0.42*E1488+3.55)*F1488,((0.42*30+3.55)+0.35*(E1488-30))*F1488)</f>
        <v>11.659919846400001</v>
      </c>
      <c r="H1488" s="465"/>
      <c r="I1488" s="465"/>
      <c r="J1488" s="407">
        <f t="shared" si="447"/>
        <v>0</v>
      </c>
      <c r="K1488" s="408"/>
      <c r="L1488" s="152">
        <v>0</v>
      </c>
      <c r="M1488" s="213"/>
      <c r="N1488" s="402">
        <f t="shared" si="457"/>
        <v>0</v>
      </c>
      <c r="O1488" s="402">
        <f t="shared" si="458"/>
        <v>0</v>
      </c>
      <c r="P1488" s="403"/>
      <c r="Q1488" s="464"/>
      <c r="R1488" s="464"/>
      <c r="S1488" s="402">
        <f t="shared" si="459"/>
        <v>0</v>
      </c>
      <c r="T1488" s="404">
        <f t="shared" si="452"/>
        <v>0</v>
      </c>
      <c r="U1488" s="403"/>
      <c r="V1488" s="160" t="str">
        <f>IF(T1483&gt;0,"xx",IF(O1483&gt;0,"xy",""))</f>
        <v/>
      </c>
      <c r="W1488" s="43" t="str">
        <f t="shared" si="444"/>
        <v/>
      </c>
      <c r="X1488" s="43" t="str">
        <f t="shared" si="454"/>
        <v/>
      </c>
      <c r="Y1488" s="43" t="str">
        <f t="shared" si="448"/>
        <v/>
      </c>
    </row>
    <row r="1489" spans="1:25" hidden="1">
      <c r="A1489" s="155" t="s">
        <v>135</v>
      </c>
      <c r="B1489" s="156" t="s">
        <v>242</v>
      </c>
      <c r="C1489" s="411" t="s">
        <v>521</v>
      </c>
      <c r="D1489" s="351"/>
      <c r="E1489" s="405"/>
      <c r="F1489" s="406"/>
      <c r="G1489" s="158">
        <f>SUM(G1490:G1494)</f>
        <v>68.235889200000003</v>
      </c>
      <c r="H1489" s="465">
        <f>VLOOKUP(C1489,'ENSAIOS DE ORÇAMENTO'!$C$3:$L$79,8,FALSE)</f>
        <v>303.02815626666666</v>
      </c>
      <c r="I1489" s="465">
        <f>IF(ISBLANK(H1489),"",SUM(G1489:H1489))</f>
        <v>371.26404546666663</v>
      </c>
      <c r="J1489" s="407">
        <f t="shared" si="447"/>
        <v>470.76</v>
      </c>
      <c r="K1489" s="408" t="s">
        <v>23</v>
      </c>
      <c r="L1489" s="152">
        <v>0</v>
      </c>
      <c r="M1489" s="152"/>
      <c r="N1489" s="402">
        <f t="shared" si="457"/>
        <v>0</v>
      </c>
      <c r="O1489" s="402">
        <f t="shared" si="458"/>
        <v>0</v>
      </c>
      <c r="P1489" s="403"/>
      <c r="Q1489" s="152">
        <f t="shared" si="437"/>
        <v>0</v>
      </c>
      <c r="R1489" s="152">
        <f t="shared" si="437"/>
        <v>0</v>
      </c>
      <c r="S1489" s="402">
        <f t="shared" si="459"/>
        <v>0</v>
      </c>
      <c r="T1489" s="404">
        <f t="shared" si="452"/>
        <v>0</v>
      </c>
      <c r="U1489" s="403"/>
      <c r="W1489" s="43" t="str">
        <f t="shared" si="444"/>
        <v/>
      </c>
      <c r="X1489" s="43" t="str">
        <f t="shared" si="454"/>
        <v/>
      </c>
      <c r="Y1489" s="43" t="str">
        <f t="shared" si="448"/>
        <v/>
      </c>
    </row>
    <row r="1490" spans="1:25" hidden="1">
      <c r="A1490" s="155" t="s">
        <v>183</v>
      </c>
      <c r="B1490" s="156"/>
      <c r="C1490" s="411" t="s">
        <v>251</v>
      </c>
      <c r="D1490" s="351"/>
      <c r="E1490" s="405">
        <v>500</v>
      </c>
      <c r="F1490" s="406">
        <f>VLOOKUP(C1489,'ENSAIOS DE ORÇAMENTO'!$C$3:$L$79,4,FALSE)</f>
        <v>0.13322880000000001</v>
      </c>
      <c r="G1490" s="158">
        <f>IF(E1490&lt;=30,(0.42*E1490+3.55)*F1490,((0.42*30+3.55)+0.35*(E1490-30))*F1490)</f>
        <v>24.067782720000004</v>
      </c>
      <c r="H1490" s="465"/>
      <c r="I1490" s="465"/>
      <c r="J1490" s="407">
        <f t="shared" si="447"/>
        <v>0</v>
      </c>
      <c r="K1490" s="408"/>
      <c r="L1490" s="152">
        <v>0</v>
      </c>
      <c r="M1490" s="213"/>
      <c r="N1490" s="402">
        <f t="shared" si="457"/>
        <v>0</v>
      </c>
      <c r="O1490" s="402">
        <f t="shared" si="458"/>
        <v>0</v>
      </c>
      <c r="P1490" s="403"/>
      <c r="Q1490" s="464"/>
      <c r="R1490" s="464"/>
      <c r="S1490" s="402">
        <f t="shared" si="459"/>
        <v>0</v>
      </c>
      <c r="T1490" s="404">
        <f t="shared" si="452"/>
        <v>0</v>
      </c>
      <c r="U1490" s="403"/>
      <c r="V1490" s="160" t="str">
        <f>IF(T1489&gt;0,"xx",IF(O1489&gt;0,"xy",""))</f>
        <v/>
      </c>
      <c r="W1490" s="43" t="str">
        <f t="shared" si="444"/>
        <v/>
      </c>
      <c r="X1490" s="43" t="str">
        <f t="shared" si="454"/>
        <v/>
      </c>
      <c r="Y1490" s="43" t="str">
        <f t="shared" si="448"/>
        <v/>
      </c>
    </row>
    <row r="1491" spans="1:25" hidden="1">
      <c r="A1491" s="155" t="s">
        <v>183</v>
      </c>
      <c r="B1491" s="156"/>
      <c r="C1491" s="411" t="s">
        <v>314</v>
      </c>
      <c r="D1491" s="351"/>
      <c r="E1491" s="405">
        <v>180</v>
      </c>
      <c r="F1491" s="406">
        <f>VLOOKUP(C1489,'ENSAIOS DE ORÇAMENTO'!$C$3:$L$79,5,FALSE)</f>
        <v>0.40193856</v>
      </c>
      <c r="G1491" s="158">
        <f t="shared" ref="G1491:G1493" si="464">IF(E1491&lt;=30,(0.6*E1491+1.25)*F1491,((0.6*30+1.25)+0.5*(E1491-30))*F1491)</f>
        <v>37.88270928</v>
      </c>
      <c r="H1491" s="465"/>
      <c r="I1491" s="465"/>
      <c r="J1491" s="407">
        <f t="shared" si="447"/>
        <v>0</v>
      </c>
      <c r="K1491" s="408"/>
      <c r="L1491" s="152">
        <v>0</v>
      </c>
      <c r="M1491" s="213"/>
      <c r="N1491" s="402">
        <f t="shared" si="457"/>
        <v>0</v>
      </c>
      <c r="O1491" s="402">
        <f t="shared" si="458"/>
        <v>0</v>
      </c>
      <c r="P1491" s="403"/>
      <c r="Q1491" s="464"/>
      <c r="R1491" s="464"/>
      <c r="S1491" s="402">
        <f t="shared" si="459"/>
        <v>0</v>
      </c>
      <c r="T1491" s="404">
        <f t="shared" si="452"/>
        <v>0</v>
      </c>
      <c r="U1491" s="403"/>
      <c r="V1491" s="160" t="str">
        <f>IF(T1489&gt;0,"xx",IF(O1489&gt;0,"xy",""))</f>
        <v/>
      </c>
      <c r="W1491" s="43" t="str">
        <f t="shared" si="444"/>
        <v/>
      </c>
      <c r="X1491" s="43" t="str">
        <f t="shared" si="454"/>
        <v/>
      </c>
      <c r="Y1491" s="43" t="str">
        <f t="shared" si="448"/>
        <v/>
      </c>
    </row>
    <row r="1492" spans="1:25" hidden="1">
      <c r="A1492" s="155" t="s">
        <v>183</v>
      </c>
      <c r="B1492" s="156"/>
      <c r="C1492" s="411" t="s">
        <v>323</v>
      </c>
      <c r="D1492" s="351"/>
      <c r="E1492" s="405">
        <v>20</v>
      </c>
      <c r="F1492" s="406">
        <f>VLOOKUP(C1489,'ENSAIOS DE ORÇAMENTO'!$C$3:$L$79,6,FALSE)</f>
        <v>0.47436960000000006</v>
      </c>
      <c r="G1492" s="158">
        <f t="shared" si="464"/>
        <v>6.2853972000000011</v>
      </c>
      <c r="H1492" s="465"/>
      <c r="I1492" s="465"/>
      <c r="J1492" s="407">
        <f t="shared" si="447"/>
        <v>0</v>
      </c>
      <c r="K1492" s="408"/>
      <c r="L1492" s="152">
        <v>0</v>
      </c>
      <c r="M1492" s="213"/>
      <c r="N1492" s="402">
        <f t="shared" si="457"/>
        <v>0</v>
      </c>
      <c r="O1492" s="402">
        <f t="shared" si="458"/>
        <v>0</v>
      </c>
      <c r="P1492" s="403"/>
      <c r="Q1492" s="464"/>
      <c r="R1492" s="464"/>
      <c r="S1492" s="402">
        <f t="shared" si="459"/>
        <v>0</v>
      </c>
      <c r="T1492" s="404">
        <f t="shared" si="452"/>
        <v>0</v>
      </c>
      <c r="U1492" s="403"/>
      <c r="V1492" s="160" t="str">
        <f>IF(T1489&gt;0,"xx",IF(O1489&gt;0,"xy",""))</f>
        <v/>
      </c>
      <c r="W1492" s="43" t="str">
        <f t="shared" si="444"/>
        <v/>
      </c>
      <c r="X1492" s="43" t="str">
        <f t="shared" si="454"/>
        <v/>
      </c>
      <c r="Y1492" s="43" t="str">
        <f t="shared" si="448"/>
        <v/>
      </c>
    </row>
    <row r="1493" spans="1:25" hidden="1">
      <c r="A1493" s="155" t="s">
        <v>183</v>
      </c>
      <c r="B1493" s="156"/>
      <c r="C1493" s="411" t="s">
        <v>511</v>
      </c>
      <c r="D1493" s="351"/>
      <c r="E1493" s="405">
        <v>30</v>
      </c>
      <c r="F1493" s="406">
        <f>VLOOKUP(C1489,'ENSAIOS DE ORÇAMENTO'!$C$3:$L$79,3,FALSE)</f>
        <v>0</v>
      </c>
      <c r="G1493" s="158">
        <f t="shared" si="464"/>
        <v>0</v>
      </c>
      <c r="H1493" s="465"/>
      <c r="I1493" s="465"/>
      <c r="J1493" s="407">
        <f t="shared" si="447"/>
        <v>0</v>
      </c>
      <c r="K1493" s="408"/>
      <c r="L1493" s="152">
        <v>0</v>
      </c>
      <c r="M1493" s="213"/>
      <c r="N1493" s="402">
        <f t="shared" si="457"/>
        <v>0</v>
      </c>
      <c r="O1493" s="402">
        <f t="shared" si="458"/>
        <v>0</v>
      </c>
      <c r="P1493" s="403"/>
      <c r="Q1493" s="464"/>
      <c r="R1493" s="464"/>
      <c r="S1493" s="402">
        <f t="shared" si="459"/>
        <v>0</v>
      </c>
      <c r="T1493" s="404">
        <f t="shared" si="452"/>
        <v>0</v>
      </c>
      <c r="U1493" s="403"/>
      <c r="V1493" s="160" t="str">
        <f>IF(T1489&gt;0,"xx",IF(O1489&gt;0,"xy",""))</f>
        <v/>
      </c>
      <c r="W1493" s="43" t="str">
        <f t="shared" si="444"/>
        <v/>
      </c>
      <c r="X1493" s="43" t="str">
        <f t="shared" si="454"/>
        <v/>
      </c>
      <c r="Y1493" s="43" t="str">
        <f t="shared" si="448"/>
        <v/>
      </c>
    </row>
    <row r="1494" spans="1:25" hidden="1">
      <c r="A1494" s="155" t="s">
        <v>183</v>
      </c>
      <c r="B1494" s="156"/>
      <c r="C1494" s="411" t="s">
        <v>512</v>
      </c>
      <c r="D1494" s="351"/>
      <c r="E1494" s="405">
        <v>500</v>
      </c>
      <c r="F1494" s="406">
        <f>VLOOKUP(C1489,'ENSAIOS DE ORÇAMENTO'!$C$3:$L$79,10,FALSE)</f>
        <v>0</v>
      </c>
      <c r="G1494" s="158">
        <f t="shared" ref="G1494" si="465">IF(E1494&lt;=30,(0.42*E1494+3.55)*F1494,((0.42*30+3.55)+0.35*(E1494-30))*F1494)</f>
        <v>0</v>
      </c>
      <c r="H1494" s="465"/>
      <c r="I1494" s="465"/>
      <c r="J1494" s="407">
        <f t="shared" si="447"/>
        <v>0</v>
      </c>
      <c r="K1494" s="408"/>
      <c r="L1494" s="152">
        <v>0</v>
      </c>
      <c r="M1494" s="213"/>
      <c r="N1494" s="402">
        <f t="shared" si="457"/>
        <v>0</v>
      </c>
      <c r="O1494" s="402">
        <f t="shared" si="458"/>
        <v>0</v>
      </c>
      <c r="P1494" s="403"/>
      <c r="Q1494" s="464"/>
      <c r="R1494" s="464"/>
      <c r="S1494" s="402">
        <f t="shared" si="459"/>
        <v>0</v>
      </c>
      <c r="T1494" s="404">
        <f t="shared" si="452"/>
        <v>0</v>
      </c>
      <c r="U1494" s="403"/>
      <c r="V1494" s="160" t="str">
        <f>IF(T1489&gt;0,"xx",IF(O1489&gt;0,"xy",""))</f>
        <v/>
      </c>
      <c r="W1494" s="43" t="str">
        <f t="shared" si="444"/>
        <v/>
      </c>
      <c r="X1494" s="43" t="str">
        <f t="shared" si="454"/>
        <v/>
      </c>
      <c r="Y1494" s="43" t="str">
        <f t="shared" si="448"/>
        <v/>
      </c>
    </row>
    <row r="1495" spans="1:25" hidden="1">
      <c r="A1495" s="155" t="s">
        <v>136</v>
      </c>
      <c r="B1495" s="156" t="s">
        <v>242</v>
      </c>
      <c r="C1495" s="411" t="s">
        <v>522</v>
      </c>
      <c r="D1495" s="351"/>
      <c r="E1495" s="405"/>
      <c r="F1495" s="406"/>
      <c r="G1495" s="158">
        <f>SUM(G1496:G1500)</f>
        <v>103.59504476250001</v>
      </c>
      <c r="H1495" s="465">
        <f>VLOOKUP(C1495,'ENSAIOS DE ORÇAMENTO'!$C$3:$L$79,8,FALSE)</f>
        <v>466.10345326666669</v>
      </c>
      <c r="I1495" s="465">
        <f>IF(ISBLANK(H1495),"",SUM(G1495:H1495))</f>
        <v>569.69849802916667</v>
      </c>
      <c r="J1495" s="407">
        <f t="shared" si="447"/>
        <v>722.38</v>
      </c>
      <c r="K1495" s="408" t="s">
        <v>23</v>
      </c>
      <c r="L1495" s="152">
        <v>0</v>
      </c>
      <c r="M1495" s="152"/>
      <c r="N1495" s="402">
        <f t="shared" si="457"/>
        <v>0</v>
      </c>
      <c r="O1495" s="402">
        <f t="shared" si="458"/>
        <v>0</v>
      </c>
      <c r="P1495" s="403"/>
      <c r="Q1495" s="152">
        <f t="shared" ref="Q1495:R1555" si="466">L1495</f>
        <v>0</v>
      </c>
      <c r="R1495" s="152">
        <f t="shared" si="466"/>
        <v>0</v>
      </c>
      <c r="S1495" s="402">
        <f t="shared" si="459"/>
        <v>0</v>
      </c>
      <c r="T1495" s="404">
        <f t="shared" si="452"/>
        <v>0</v>
      </c>
      <c r="U1495" s="403"/>
      <c r="W1495" s="43" t="str">
        <f t="shared" si="444"/>
        <v/>
      </c>
      <c r="X1495" s="43" t="str">
        <f t="shared" si="454"/>
        <v/>
      </c>
      <c r="Y1495" s="43" t="str">
        <f t="shared" si="448"/>
        <v/>
      </c>
    </row>
    <row r="1496" spans="1:25" hidden="1">
      <c r="A1496" s="155" t="s">
        <v>183</v>
      </c>
      <c r="B1496" s="156"/>
      <c r="C1496" s="411" t="s">
        <v>251</v>
      </c>
      <c r="D1496" s="351"/>
      <c r="E1496" s="405">
        <v>500</v>
      </c>
      <c r="F1496" s="406">
        <f>VLOOKUP(C1495,'ENSAIOS DE ORÇAMENTO'!$C$3:$L$79,4,FALSE)</f>
        <v>0.20564730000000003</v>
      </c>
      <c r="G1496" s="158">
        <f>IF(E1496&lt;=30,(0.42*E1496+3.55)*F1496,((0.42*30+3.55)+0.35*(E1496-30))*F1496)</f>
        <v>37.150184745000004</v>
      </c>
      <c r="H1496" s="465"/>
      <c r="I1496" s="465"/>
      <c r="J1496" s="407">
        <f t="shared" si="447"/>
        <v>0</v>
      </c>
      <c r="K1496" s="408"/>
      <c r="L1496" s="152">
        <v>0</v>
      </c>
      <c r="M1496" s="213"/>
      <c r="N1496" s="402">
        <f t="shared" si="457"/>
        <v>0</v>
      </c>
      <c r="O1496" s="402">
        <f t="shared" si="458"/>
        <v>0</v>
      </c>
      <c r="P1496" s="403"/>
      <c r="Q1496" s="464"/>
      <c r="R1496" s="464"/>
      <c r="S1496" s="402">
        <f t="shared" si="459"/>
        <v>0</v>
      </c>
      <c r="T1496" s="404">
        <f t="shared" si="452"/>
        <v>0</v>
      </c>
      <c r="U1496" s="403"/>
      <c r="V1496" s="160" t="str">
        <f>IF(T1495&gt;0,"xx",IF(O1495&gt;0,"xy",""))</f>
        <v/>
      </c>
      <c r="W1496" s="43" t="str">
        <f t="shared" si="444"/>
        <v/>
      </c>
      <c r="X1496" s="43" t="str">
        <f t="shared" si="454"/>
        <v/>
      </c>
      <c r="Y1496" s="43" t="str">
        <f t="shared" si="448"/>
        <v/>
      </c>
    </row>
    <row r="1497" spans="1:25" hidden="1">
      <c r="A1497" s="155" t="s">
        <v>183</v>
      </c>
      <c r="B1497" s="156"/>
      <c r="C1497" s="411" t="s">
        <v>314</v>
      </c>
      <c r="D1497" s="351"/>
      <c r="E1497" s="405">
        <v>180</v>
      </c>
      <c r="F1497" s="406">
        <f>VLOOKUP(C1495,'ENSAIOS DE ORÇAMENTO'!$C$3:$L$79,5,FALSE)</f>
        <v>0.60405201000000008</v>
      </c>
      <c r="G1497" s="158">
        <f t="shared" ref="G1497:G1499" si="467">IF(E1497&lt;=30,(0.6*E1497+1.25)*F1497,((0.6*30+1.25)+0.5*(E1497-30))*F1497)</f>
        <v>56.931901942500005</v>
      </c>
      <c r="H1497" s="465"/>
      <c r="I1497" s="465"/>
      <c r="J1497" s="407">
        <f t="shared" si="447"/>
        <v>0</v>
      </c>
      <c r="K1497" s="408"/>
      <c r="L1497" s="152">
        <v>0</v>
      </c>
      <c r="M1497" s="213"/>
      <c r="N1497" s="402">
        <f t="shared" si="457"/>
        <v>0</v>
      </c>
      <c r="O1497" s="402">
        <f t="shared" si="458"/>
        <v>0</v>
      </c>
      <c r="P1497" s="403"/>
      <c r="Q1497" s="464"/>
      <c r="R1497" s="464"/>
      <c r="S1497" s="402">
        <f t="shared" si="459"/>
        <v>0</v>
      </c>
      <c r="T1497" s="404">
        <f t="shared" si="452"/>
        <v>0</v>
      </c>
      <c r="U1497" s="403"/>
      <c r="V1497" s="160" t="str">
        <f>IF(T1495&gt;0,"xx",IF(O1495&gt;0,"xy",""))</f>
        <v/>
      </c>
      <c r="W1497" s="43" t="str">
        <f t="shared" si="444"/>
        <v/>
      </c>
      <c r="X1497" s="43" t="str">
        <f t="shared" si="454"/>
        <v/>
      </c>
      <c r="Y1497" s="43" t="str">
        <f t="shared" si="448"/>
        <v/>
      </c>
    </row>
    <row r="1498" spans="1:25" hidden="1">
      <c r="A1498" s="155" t="s">
        <v>183</v>
      </c>
      <c r="B1498" s="156"/>
      <c r="C1498" s="411" t="s">
        <v>323</v>
      </c>
      <c r="D1498" s="351"/>
      <c r="E1498" s="405">
        <v>20</v>
      </c>
      <c r="F1498" s="406">
        <f>VLOOKUP(C1495,'ENSAIOS DE ORÇAMENTO'!$C$3:$L$79,6,FALSE)</f>
        <v>0.71795910000000007</v>
      </c>
      <c r="G1498" s="158">
        <f t="shared" si="467"/>
        <v>9.5129580750000002</v>
      </c>
      <c r="H1498" s="465"/>
      <c r="I1498" s="465"/>
      <c r="J1498" s="407">
        <f t="shared" si="447"/>
        <v>0</v>
      </c>
      <c r="K1498" s="408"/>
      <c r="L1498" s="152">
        <v>0</v>
      </c>
      <c r="M1498" s="213"/>
      <c r="N1498" s="402">
        <f t="shared" si="457"/>
        <v>0</v>
      </c>
      <c r="O1498" s="402">
        <f t="shared" si="458"/>
        <v>0</v>
      </c>
      <c r="P1498" s="403"/>
      <c r="Q1498" s="464"/>
      <c r="R1498" s="464"/>
      <c r="S1498" s="402">
        <f t="shared" si="459"/>
        <v>0</v>
      </c>
      <c r="T1498" s="404">
        <f t="shared" si="452"/>
        <v>0</v>
      </c>
      <c r="U1498" s="403"/>
      <c r="V1498" s="160" t="str">
        <f>IF(T1495&gt;0,"xx",IF(O1495&gt;0,"xy",""))</f>
        <v/>
      </c>
      <c r="W1498" s="43" t="str">
        <f t="shared" si="444"/>
        <v/>
      </c>
      <c r="X1498" s="43" t="str">
        <f t="shared" si="454"/>
        <v/>
      </c>
      <c r="Y1498" s="43" t="str">
        <f t="shared" si="448"/>
        <v/>
      </c>
    </row>
    <row r="1499" spans="1:25" hidden="1">
      <c r="A1499" s="155" t="s">
        <v>183</v>
      </c>
      <c r="B1499" s="156"/>
      <c r="C1499" s="411" t="s">
        <v>511</v>
      </c>
      <c r="D1499" s="351"/>
      <c r="E1499" s="405">
        <v>30</v>
      </c>
      <c r="F1499" s="406">
        <f>VLOOKUP(C1495,'ENSAIOS DE ORÇAMENTO'!$C$3:$L$79,3,FALSE)</f>
        <v>0</v>
      </c>
      <c r="G1499" s="158">
        <f t="shared" si="467"/>
        <v>0</v>
      </c>
      <c r="H1499" s="465"/>
      <c r="I1499" s="465"/>
      <c r="J1499" s="407">
        <f t="shared" si="447"/>
        <v>0</v>
      </c>
      <c r="K1499" s="408"/>
      <c r="L1499" s="152">
        <v>0</v>
      </c>
      <c r="M1499" s="213"/>
      <c r="N1499" s="402">
        <f t="shared" si="457"/>
        <v>0</v>
      </c>
      <c r="O1499" s="402">
        <f t="shared" si="458"/>
        <v>0</v>
      </c>
      <c r="P1499" s="403"/>
      <c r="Q1499" s="464"/>
      <c r="R1499" s="464"/>
      <c r="S1499" s="402">
        <f t="shared" si="459"/>
        <v>0</v>
      </c>
      <c r="T1499" s="404">
        <f t="shared" si="452"/>
        <v>0</v>
      </c>
      <c r="U1499" s="403"/>
      <c r="V1499" s="160" t="str">
        <f>IF(T1495&gt;0,"xx",IF(O1495&gt;0,"xy",""))</f>
        <v/>
      </c>
      <c r="W1499" s="43" t="str">
        <f t="shared" si="444"/>
        <v/>
      </c>
      <c r="X1499" s="43" t="str">
        <f t="shared" si="454"/>
        <v/>
      </c>
      <c r="Y1499" s="43" t="str">
        <f t="shared" si="448"/>
        <v/>
      </c>
    </row>
    <row r="1500" spans="1:25" hidden="1">
      <c r="A1500" s="155" t="s">
        <v>183</v>
      </c>
      <c r="B1500" s="156"/>
      <c r="C1500" s="411" t="s">
        <v>512</v>
      </c>
      <c r="D1500" s="351"/>
      <c r="E1500" s="405">
        <v>500</v>
      </c>
      <c r="F1500" s="406">
        <f>VLOOKUP(C1495,'ENSAIOS DE ORÇAMENTO'!$C$3:$L$79,10,FALSE)</f>
        <v>0</v>
      </c>
      <c r="G1500" s="158">
        <f t="shared" ref="G1500" si="468">IF(E1500&lt;=30,(0.42*E1500+3.55)*F1500,((0.42*30+3.55)+0.35*(E1500-30))*F1500)</f>
        <v>0</v>
      </c>
      <c r="H1500" s="465"/>
      <c r="I1500" s="465"/>
      <c r="J1500" s="407">
        <f t="shared" si="447"/>
        <v>0</v>
      </c>
      <c r="K1500" s="408"/>
      <c r="L1500" s="152">
        <v>0</v>
      </c>
      <c r="M1500" s="213"/>
      <c r="N1500" s="402">
        <f t="shared" si="457"/>
        <v>0</v>
      </c>
      <c r="O1500" s="402">
        <f t="shared" si="458"/>
        <v>0</v>
      </c>
      <c r="P1500" s="403"/>
      <c r="Q1500" s="464"/>
      <c r="R1500" s="464"/>
      <c r="S1500" s="402">
        <f t="shared" si="459"/>
        <v>0</v>
      </c>
      <c r="T1500" s="404">
        <f t="shared" si="452"/>
        <v>0</v>
      </c>
      <c r="U1500" s="403"/>
      <c r="V1500" s="160" t="str">
        <f>IF(T1495&gt;0,"xx",IF(O1495&gt;0,"xy",""))</f>
        <v/>
      </c>
      <c r="W1500" s="43" t="str">
        <f t="shared" si="444"/>
        <v/>
      </c>
      <c r="X1500" s="43" t="str">
        <f t="shared" si="454"/>
        <v/>
      </c>
      <c r="Y1500" s="43" t="str">
        <f t="shared" si="448"/>
        <v/>
      </c>
    </row>
    <row r="1501" spans="1:25" hidden="1">
      <c r="A1501" s="155" t="s">
        <v>137</v>
      </c>
      <c r="B1501" s="156" t="s">
        <v>242</v>
      </c>
      <c r="C1501" s="411" t="s">
        <v>523</v>
      </c>
      <c r="D1501" s="351"/>
      <c r="E1501" s="405"/>
      <c r="F1501" s="406"/>
      <c r="G1501" s="158">
        <f>SUM(G1502:G1506)</f>
        <v>192.16873914374995</v>
      </c>
      <c r="H1501" s="465">
        <f>VLOOKUP(C1501,'ENSAIOS DE ORÇAMENTO'!$C$3:$L$79,8,FALSE)</f>
        <v>813.43373123333322</v>
      </c>
      <c r="I1501" s="465">
        <f>IF(ISBLANK(H1501),"",SUM(G1501:H1501))*0.95</f>
        <v>955.32234685822891</v>
      </c>
      <c r="J1501" s="407">
        <f t="shared" si="447"/>
        <v>1211.3499999999999</v>
      </c>
      <c r="K1501" s="408" t="s">
        <v>23</v>
      </c>
      <c r="L1501" s="152">
        <v>0</v>
      </c>
      <c r="M1501" s="152"/>
      <c r="N1501" s="402">
        <f t="shared" si="457"/>
        <v>0</v>
      </c>
      <c r="O1501" s="402">
        <f t="shared" si="458"/>
        <v>0</v>
      </c>
      <c r="P1501" s="403"/>
      <c r="Q1501" s="152">
        <f t="shared" si="466"/>
        <v>0</v>
      </c>
      <c r="R1501" s="152">
        <f t="shared" si="466"/>
        <v>0</v>
      </c>
      <c r="S1501" s="402">
        <f t="shared" si="459"/>
        <v>0</v>
      </c>
      <c r="T1501" s="404">
        <f t="shared" si="452"/>
        <v>0</v>
      </c>
      <c r="U1501" s="403"/>
      <c r="W1501" s="43" t="str">
        <f t="shared" si="444"/>
        <v/>
      </c>
      <c r="X1501" s="43" t="str">
        <f t="shared" si="454"/>
        <v/>
      </c>
      <c r="Y1501" s="43" t="str">
        <f t="shared" si="448"/>
        <v/>
      </c>
    </row>
    <row r="1502" spans="1:25" hidden="1">
      <c r="A1502" s="155" t="s">
        <v>183</v>
      </c>
      <c r="B1502" s="156"/>
      <c r="C1502" s="411" t="s">
        <v>251</v>
      </c>
      <c r="D1502" s="351"/>
      <c r="E1502" s="405">
        <v>500</v>
      </c>
      <c r="F1502" s="406">
        <f>VLOOKUP(C1501,'ENSAIOS DE ORÇAMENTO'!$C$3:$L$79,4,FALSE)</f>
        <v>0.38487894999999994</v>
      </c>
      <c r="G1502" s="158">
        <f>IF(E1502&lt;=30,(0.42*E1502+3.55)*F1502,((0.42*30+3.55)+0.35*(E1502-30))*F1502)</f>
        <v>69.52838231749999</v>
      </c>
      <c r="H1502" s="465"/>
      <c r="I1502" s="465"/>
      <c r="J1502" s="407">
        <f t="shared" si="447"/>
        <v>0</v>
      </c>
      <c r="K1502" s="408"/>
      <c r="L1502" s="152">
        <v>0</v>
      </c>
      <c r="M1502" s="213"/>
      <c r="N1502" s="402">
        <f t="shared" si="457"/>
        <v>0</v>
      </c>
      <c r="O1502" s="402">
        <f t="shared" si="458"/>
        <v>0</v>
      </c>
      <c r="P1502" s="403"/>
      <c r="Q1502" s="464"/>
      <c r="R1502" s="464"/>
      <c r="S1502" s="402">
        <f t="shared" si="459"/>
        <v>0</v>
      </c>
      <c r="T1502" s="404">
        <f t="shared" si="452"/>
        <v>0</v>
      </c>
      <c r="U1502" s="403"/>
      <c r="V1502" s="160" t="str">
        <f>IF(T1501&gt;0,"xx",IF(O1501&gt;0,"xy",""))</f>
        <v/>
      </c>
      <c r="W1502" s="43" t="str">
        <f t="shared" si="444"/>
        <v/>
      </c>
      <c r="X1502" s="43" t="str">
        <f t="shared" si="454"/>
        <v/>
      </c>
      <c r="Y1502" s="43" t="str">
        <f t="shared" si="448"/>
        <v/>
      </c>
    </row>
    <row r="1503" spans="1:25" hidden="1">
      <c r="A1503" s="155" t="s">
        <v>183</v>
      </c>
      <c r="B1503" s="156"/>
      <c r="C1503" s="411" t="s">
        <v>314</v>
      </c>
      <c r="D1503" s="351"/>
      <c r="E1503" s="405">
        <v>180</v>
      </c>
      <c r="F1503" s="406">
        <f>VLOOKUP(C1501,'ENSAIOS DE ORÇAMENTO'!$C$3:$L$79,5,FALSE)</f>
        <v>1.1143076149999998</v>
      </c>
      <c r="G1503" s="158">
        <f t="shared" ref="G1503:G1505" si="469">IF(E1503&lt;=30,(0.6*E1503+1.25)*F1503,((0.6*30+1.25)+0.5*(E1503-30))*F1503)</f>
        <v>105.02349271374997</v>
      </c>
      <c r="H1503" s="465"/>
      <c r="I1503" s="465"/>
      <c r="J1503" s="407">
        <f t="shared" si="447"/>
        <v>0</v>
      </c>
      <c r="K1503" s="408"/>
      <c r="L1503" s="152">
        <v>0</v>
      </c>
      <c r="M1503" s="213"/>
      <c r="N1503" s="402">
        <f t="shared" si="457"/>
        <v>0</v>
      </c>
      <c r="O1503" s="402">
        <f t="shared" si="458"/>
        <v>0</v>
      </c>
      <c r="P1503" s="403"/>
      <c r="Q1503" s="464"/>
      <c r="R1503" s="464"/>
      <c r="S1503" s="402">
        <f t="shared" si="459"/>
        <v>0</v>
      </c>
      <c r="T1503" s="404">
        <f t="shared" si="452"/>
        <v>0</v>
      </c>
      <c r="U1503" s="403"/>
      <c r="V1503" s="160" t="str">
        <f>IF(T1501&gt;0,"xx",IF(O1501&gt;0,"xy",""))</f>
        <v/>
      </c>
      <c r="W1503" s="43" t="str">
        <f t="shared" si="444"/>
        <v/>
      </c>
      <c r="X1503" s="43" t="str">
        <f t="shared" si="454"/>
        <v/>
      </c>
      <c r="Y1503" s="43" t="str">
        <f t="shared" si="448"/>
        <v/>
      </c>
    </row>
    <row r="1504" spans="1:25" hidden="1">
      <c r="A1504" s="155" t="s">
        <v>183</v>
      </c>
      <c r="B1504" s="156"/>
      <c r="C1504" s="411" t="s">
        <v>323</v>
      </c>
      <c r="D1504" s="351"/>
      <c r="E1504" s="405">
        <v>20</v>
      </c>
      <c r="F1504" s="406">
        <f>VLOOKUP(C1501,'ENSAIOS DE ORÇAMENTO'!$C$3:$L$79,6,FALSE)</f>
        <v>1.3295746499999999</v>
      </c>
      <c r="G1504" s="158">
        <f t="shared" si="469"/>
        <v>17.616864112499997</v>
      </c>
      <c r="H1504" s="465"/>
      <c r="I1504" s="465"/>
      <c r="J1504" s="407">
        <f t="shared" si="447"/>
        <v>0</v>
      </c>
      <c r="K1504" s="408"/>
      <c r="L1504" s="152">
        <v>0</v>
      </c>
      <c r="M1504" s="213"/>
      <c r="N1504" s="402">
        <f t="shared" si="457"/>
        <v>0</v>
      </c>
      <c r="O1504" s="402">
        <f t="shared" si="458"/>
        <v>0</v>
      </c>
      <c r="P1504" s="403"/>
      <c r="Q1504" s="464"/>
      <c r="R1504" s="464"/>
      <c r="S1504" s="402">
        <f t="shared" si="459"/>
        <v>0</v>
      </c>
      <c r="T1504" s="404">
        <f t="shared" si="452"/>
        <v>0</v>
      </c>
      <c r="U1504" s="403"/>
      <c r="V1504" s="160" t="str">
        <f>IF(T1501&gt;0,"xx",IF(O1501&gt;0,"xy",""))</f>
        <v/>
      </c>
      <c r="W1504" s="43" t="str">
        <f t="shared" si="444"/>
        <v/>
      </c>
      <c r="X1504" s="43" t="str">
        <f t="shared" si="454"/>
        <v/>
      </c>
      <c r="Y1504" s="43" t="str">
        <f t="shared" si="448"/>
        <v/>
      </c>
    </row>
    <row r="1505" spans="1:25" hidden="1">
      <c r="A1505" s="155" t="s">
        <v>183</v>
      </c>
      <c r="B1505" s="156"/>
      <c r="C1505" s="411" t="s">
        <v>511</v>
      </c>
      <c r="D1505" s="351"/>
      <c r="E1505" s="405">
        <v>30</v>
      </c>
      <c r="F1505" s="406">
        <f>VLOOKUP(C1501,'ENSAIOS DE ORÇAMENTO'!$C$3:$L$79,3,FALSE)</f>
        <v>0</v>
      </c>
      <c r="G1505" s="158">
        <f t="shared" si="469"/>
        <v>0</v>
      </c>
      <c r="H1505" s="465"/>
      <c r="I1505" s="465"/>
      <c r="J1505" s="407">
        <f t="shared" si="447"/>
        <v>0</v>
      </c>
      <c r="K1505" s="408"/>
      <c r="L1505" s="152">
        <v>0</v>
      </c>
      <c r="M1505" s="213"/>
      <c r="N1505" s="402">
        <f t="shared" si="457"/>
        <v>0</v>
      </c>
      <c r="O1505" s="402">
        <f t="shared" si="458"/>
        <v>0</v>
      </c>
      <c r="P1505" s="403"/>
      <c r="Q1505" s="464"/>
      <c r="R1505" s="464"/>
      <c r="S1505" s="402">
        <f t="shared" si="459"/>
        <v>0</v>
      </c>
      <c r="T1505" s="404">
        <f t="shared" si="452"/>
        <v>0</v>
      </c>
      <c r="U1505" s="403"/>
      <c r="V1505" s="160" t="str">
        <f>IF(T1501&gt;0,"xx",IF(O1501&gt;0,"xy",""))</f>
        <v/>
      </c>
      <c r="W1505" s="43" t="str">
        <f t="shared" si="444"/>
        <v/>
      </c>
      <c r="X1505" s="43" t="str">
        <f t="shared" si="454"/>
        <v/>
      </c>
      <c r="Y1505" s="43" t="str">
        <f t="shared" si="448"/>
        <v/>
      </c>
    </row>
    <row r="1506" spans="1:25" hidden="1">
      <c r="A1506" s="155" t="s">
        <v>183</v>
      </c>
      <c r="B1506" s="156"/>
      <c r="C1506" s="411" t="s">
        <v>512</v>
      </c>
      <c r="D1506" s="351"/>
      <c r="E1506" s="405">
        <v>500</v>
      </c>
      <c r="F1506" s="406">
        <f>VLOOKUP(C1501,'ENSAIOS DE ORÇAMENTO'!$C$3:$L$79,10,FALSE)</f>
        <v>0</v>
      </c>
      <c r="G1506" s="158">
        <f t="shared" ref="G1506" si="470">IF(E1506&lt;=30,(0.42*E1506+3.55)*F1506,((0.42*30+3.55)+0.35*(E1506-30))*F1506)</f>
        <v>0</v>
      </c>
      <c r="H1506" s="465"/>
      <c r="I1506" s="465"/>
      <c r="J1506" s="407">
        <f t="shared" si="447"/>
        <v>0</v>
      </c>
      <c r="K1506" s="408"/>
      <c r="L1506" s="152">
        <v>0</v>
      </c>
      <c r="M1506" s="213"/>
      <c r="N1506" s="402">
        <f t="shared" si="457"/>
        <v>0</v>
      </c>
      <c r="O1506" s="402">
        <f t="shared" si="458"/>
        <v>0</v>
      </c>
      <c r="P1506" s="403"/>
      <c r="Q1506" s="464"/>
      <c r="R1506" s="464"/>
      <c r="S1506" s="402">
        <f t="shared" si="459"/>
        <v>0</v>
      </c>
      <c r="T1506" s="404">
        <f t="shared" si="452"/>
        <v>0</v>
      </c>
      <c r="U1506" s="403"/>
      <c r="V1506" s="160" t="str">
        <f>IF(T1501&gt;0,"xx",IF(O1501&gt;0,"xy",""))</f>
        <v/>
      </c>
      <c r="W1506" s="43" t="str">
        <f t="shared" si="444"/>
        <v/>
      </c>
      <c r="X1506" s="43" t="str">
        <f t="shared" si="454"/>
        <v/>
      </c>
      <c r="Y1506" s="43" t="str">
        <f t="shared" si="448"/>
        <v/>
      </c>
    </row>
    <row r="1507" spans="1:25" hidden="1">
      <c r="A1507" s="155" t="s">
        <v>138</v>
      </c>
      <c r="B1507" s="156" t="s">
        <v>242</v>
      </c>
      <c r="C1507" s="411" t="s">
        <v>524</v>
      </c>
      <c r="D1507" s="351"/>
      <c r="E1507" s="405"/>
      <c r="F1507" s="406"/>
      <c r="G1507" s="158">
        <f>SUM(G1508:G1512)</f>
        <v>282.33364417500002</v>
      </c>
      <c r="H1507" s="465">
        <f>VLOOKUP(C1507,'ENSAIOS DE ORÇAMENTO'!$C$3:$L$79,8,FALSE)</f>
        <v>1125.3003310666666</v>
      </c>
      <c r="I1507" s="465">
        <f>IF(ISBLANK(H1507),"",SUM(G1507:H1507))*0.95</f>
        <v>1337.2522764795831</v>
      </c>
      <c r="J1507" s="407">
        <f t="shared" si="447"/>
        <v>1695.64</v>
      </c>
      <c r="K1507" s="408" t="s">
        <v>23</v>
      </c>
      <c r="L1507" s="152">
        <v>0</v>
      </c>
      <c r="M1507" s="152"/>
      <c r="N1507" s="402">
        <f t="shared" si="457"/>
        <v>0</v>
      </c>
      <c r="O1507" s="402">
        <f t="shared" si="458"/>
        <v>0</v>
      </c>
      <c r="P1507" s="403"/>
      <c r="Q1507" s="152">
        <f t="shared" si="466"/>
        <v>0</v>
      </c>
      <c r="R1507" s="152">
        <f t="shared" si="466"/>
        <v>0</v>
      </c>
      <c r="S1507" s="402">
        <f t="shared" si="459"/>
        <v>0</v>
      </c>
      <c r="T1507" s="404">
        <f t="shared" si="452"/>
        <v>0</v>
      </c>
      <c r="U1507" s="403"/>
      <c r="W1507" s="43" t="str">
        <f t="shared" si="444"/>
        <v/>
      </c>
      <c r="X1507" s="43" t="str">
        <f t="shared" si="454"/>
        <v/>
      </c>
      <c r="Y1507" s="43" t="str">
        <f t="shared" si="448"/>
        <v/>
      </c>
    </row>
    <row r="1508" spans="1:25" hidden="1">
      <c r="A1508" s="155" t="s">
        <v>183</v>
      </c>
      <c r="B1508" s="156"/>
      <c r="C1508" s="411" t="s">
        <v>251</v>
      </c>
      <c r="D1508" s="351"/>
      <c r="E1508" s="405">
        <v>500</v>
      </c>
      <c r="F1508" s="406">
        <f>VLOOKUP(C1507,'ENSAIOS DE ORÇAMENTO'!$C$3:$L$79,4,FALSE)</f>
        <v>0.56628220000000007</v>
      </c>
      <c r="G1508" s="158">
        <f>IF(E1508&lt;=30,(0.42*E1508+3.55)*F1508,((0.42*30+3.55)+0.35*(E1508-30))*F1508)</f>
        <v>102.29887943000001</v>
      </c>
      <c r="H1508" s="465"/>
      <c r="I1508" s="465"/>
      <c r="J1508" s="407">
        <f t="shared" si="447"/>
        <v>0</v>
      </c>
      <c r="K1508" s="408"/>
      <c r="L1508" s="152">
        <v>0</v>
      </c>
      <c r="M1508" s="213"/>
      <c r="N1508" s="402">
        <f t="shared" si="457"/>
        <v>0</v>
      </c>
      <c r="O1508" s="402">
        <f t="shared" si="458"/>
        <v>0</v>
      </c>
      <c r="P1508" s="403"/>
      <c r="Q1508" s="464"/>
      <c r="R1508" s="464"/>
      <c r="S1508" s="402">
        <f t="shared" si="459"/>
        <v>0</v>
      </c>
      <c r="T1508" s="404">
        <f t="shared" si="452"/>
        <v>0</v>
      </c>
      <c r="U1508" s="403"/>
      <c r="V1508" s="160" t="str">
        <f>IF(T1507&gt;0,"xx",IF(O1507&gt;0,"xy",""))</f>
        <v/>
      </c>
      <c r="W1508" s="43" t="str">
        <f t="shared" si="444"/>
        <v/>
      </c>
      <c r="X1508" s="43" t="str">
        <f t="shared" si="454"/>
        <v/>
      </c>
      <c r="Y1508" s="43" t="str">
        <f t="shared" si="448"/>
        <v/>
      </c>
    </row>
    <row r="1509" spans="1:25" hidden="1">
      <c r="A1509" s="155" t="s">
        <v>183</v>
      </c>
      <c r="B1509" s="156"/>
      <c r="C1509" s="411" t="s">
        <v>314</v>
      </c>
      <c r="D1509" s="351"/>
      <c r="E1509" s="405">
        <v>180</v>
      </c>
      <c r="F1509" s="406">
        <f>VLOOKUP(C1507,'ENSAIOS DE ORÇAMENTO'!$C$3:$L$79,5,FALSE)</f>
        <v>1.6356421400000001</v>
      </c>
      <c r="G1509" s="158">
        <f t="shared" ref="G1509:G1511" si="471">IF(E1509&lt;=30,(0.6*E1509+1.25)*F1509,((0.6*30+1.25)+0.5*(E1509-30))*F1509)</f>
        <v>154.159271695</v>
      </c>
      <c r="H1509" s="465"/>
      <c r="I1509" s="465"/>
      <c r="J1509" s="407">
        <f t="shared" si="447"/>
        <v>0</v>
      </c>
      <c r="K1509" s="408"/>
      <c r="L1509" s="152">
        <v>0</v>
      </c>
      <c r="M1509" s="213"/>
      <c r="N1509" s="402">
        <f t="shared" si="457"/>
        <v>0</v>
      </c>
      <c r="O1509" s="402">
        <f t="shared" si="458"/>
        <v>0</v>
      </c>
      <c r="P1509" s="403"/>
      <c r="Q1509" s="464"/>
      <c r="R1509" s="464"/>
      <c r="S1509" s="402">
        <f t="shared" si="459"/>
        <v>0</v>
      </c>
      <c r="T1509" s="404">
        <f t="shared" si="452"/>
        <v>0</v>
      </c>
      <c r="U1509" s="403"/>
      <c r="V1509" s="160" t="str">
        <f>IF(T1507&gt;0,"xx",IF(O1507&gt;0,"xy",""))</f>
        <v/>
      </c>
      <c r="W1509" s="43" t="str">
        <f t="shared" si="444"/>
        <v/>
      </c>
      <c r="X1509" s="43" t="str">
        <f t="shared" si="454"/>
        <v/>
      </c>
      <c r="Y1509" s="43" t="str">
        <f t="shared" si="448"/>
        <v/>
      </c>
    </row>
    <row r="1510" spans="1:25" hidden="1">
      <c r="A1510" s="155" t="s">
        <v>183</v>
      </c>
      <c r="B1510" s="156"/>
      <c r="C1510" s="411" t="s">
        <v>323</v>
      </c>
      <c r="D1510" s="351"/>
      <c r="E1510" s="405">
        <v>20</v>
      </c>
      <c r="F1510" s="406">
        <f>VLOOKUP(C1507,'ENSAIOS DE ORÇAMENTO'!$C$3:$L$79,6,FALSE)</f>
        <v>1.9528674000000004</v>
      </c>
      <c r="G1510" s="158">
        <f t="shared" si="471"/>
        <v>25.875493050000006</v>
      </c>
      <c r="H1510" s="465"/>
      <c r="I1510" s="465"/>
      <c r="J1510" s="407">
        <f t="shared" si="447"/>
        <v>0</v>
      </c>
      <c r="K1510" s="408"/>
      <c r="L1510" s="152">
        <v>0</v>
      </c>
      <c r="M1510" s="213"/>
      <c r="N1510" s="402">
        <f t="shared" si="457"/>
        <v>0</v>
      </c>
      <c r="O1510" s="402">
        <f t="shared" si="458"/>
        <v>0</v>
      </c>
      <c r="P1510" s="403"/>
      <c r="Q1510" s="464"/>
      <c r="R1510" s="464"/>
      <c r="S1510" s="402">
        <f t="shared" si="459"/>
        <v>0</v>
      </c>
      <c r="T1510" s="404">
        <f t="shared" si="452"/>
        <v>0</v>
      </c>
      <c r="U1510" s="403"/>
      <c r="V1510" s="160" t="str">
        <f>IF(T1507&gt;0,"xx",IF(O1507&gt;0,"xy",""))</f>
        <v/>
      </c>
      <c r="W1510" s="43" t="str">
        <f t="shared" si="444"/>
        <v/>
      </c>
      <c r="X1510" s="43" t="str">
        <f t="shared" si="454"/>
        <v/>
      </c>
      <c r="Y1510" s="43" t="str">
        <f t="shared" si="448"/>
        <v/>
      </c>
    </row>
    <row r="1511" spans="1:25" hidden="1">
      <c r="A1511" s="155" t="s">
        <v>183</v>
      </c>
      <c r="B1511" s="156"/>
      <c r="C1511" s="411" t="s">
        <v>511</v>
      </c>
      <c r="D1511" s="351"/>
      <c r="E1511" s="405">
        <v>30</v>
      </c>
      <c r="F1511" s="406">
        <f>VLOOKUP(C1507,'ENSAIOS DE ORÇAMENTO'!$C$3:$L$79,3,FALSE)</f>
        <v>0</v>
      </c>
      <c r="G1511" s="158">
        <f t="shared" si="471"/>
        <v>0</v>
      </c>
      <c r="H1511" s="465"/>
      <c r="I1511" s="465"/>
      <c r="J1511" s="407">
        <f t="shared" si="447"/>
        <v>0</v>
      </c>
      <c r="K1511" s="408"/>
      <c r="L1511" s="152">
        <v>0</v>
      </c>
      <c r="M1511" s="213"/>
      <c r="N1511" s="402">
        <f t="shared" si="457"/>
        <v>0</v>
      </c>
      <c r="O1511" s="402">
        <f t="shared" si="458"/>
        <v>0</v>
      </c>
      <c r="P1511" s="403"/>
      <c r="Q1511" s="464"/>
      <c r="R1511" s="464"/>
      <c r="S1511" s="402">
        <f t="shared" si="459"/>
        <v>0</v>
      </c>
      <c r="T1511" s="404">
        <f t="shared" si="452"/>
        <v>0</v>
      </c>
      <c r="U1511" s="403"/>
      <c r="V1511" s="160" t="str">
        <f>IF(T1507&gt;0,"xx",IF(O1507&gt;0,"xy",""))</f>
        <v/>
      </c>
      <c r="W1511" s="43" t="str">
        <f t="shared" si="444"/>
        <v/>
      </c>
      <c r="X1511" s="43" t="str">
        <f t="shared" si="454"/>
        <v/>
      </c>
      <c r="Y1511" s="43" t="str">
        <f t="shared" si="448"/>
        <v/>
      </c>
    </row>
    <row r="1512" spans="1:25" hidden="1">
      <c r="A1512" s="155" t="s">
        <v>183</v>
      </c>
      <c r="B1512" s="156"/>
      <c r="C1512" s="411" t="s">
        <v>512</v>
      </c>
      <c r="D1512" s="351"/>
      <c r="E1512" s="405">
        <v>500</v>
      </c>
      <c r="F1512" s="406">
        <f>VLOOKUP(C1507,'ENSAIOS DE ORÇAMENTO'!$C$3:$L$79,10,FALSE)</f>
        <v>0</v>
      </c>
      <c r="G1512" s="158">
        <f t="shared" ref="G1512" si="472">IF(E1512&lt;=30,(0.42*E1512+3.55)*F1512,((0.42*30+3.55)+0.35*(E1512-30))*F1512)</f>
        <v>0</v>
      </c>
      <c r="H1512" s="465"/>
      <c r="I1512" s="465"/>
      <c r="J1512" s="407">
        <f t="shared" si="447"/>
        <v>0</v>
      </c>
      <c r="K1512" s="408"/>
      <c r="L1512" s="152">
        <v>0</v>
      </c>
      <c r="M1512" s="213"/>
      <c r="N1512" s="402">
        <f t="shared" si="457"/>
        <v>0</v>
      </c>
      <c r="O1512" s="402">
        <f t="shared" si="458"/>
        <v>0</v>
      </c>
      <c r="P1512" s="403"/>
      <c r="Q1512" s="464"/>
      <c r="R1512" s="464"/>
      <c r="S1512" s="402">
        <f t="shared" si="459"/>
        <v>0</v>
      </c>
      <c r="T1512" s="404">
        <f t="shared" si="452"/>
        <v>0</v>
      </c>
      <c r="U1512" s="403"/>
      <c r="V1512" s="160" t="str">
        <f>IF(T1507&gt;0,"xx",IF(O1507&gt;0,"xy",""))</f>
        <v/>
      </c>
      <c r="W1512" s="43" t="str">
        <f t="shared" si="444"/>
        <v/>
      </c>
      <c r="X1512" s="43" t="str">
        <f t="shared" si="454"/>
        <v/>
      </c>
      <c r="Y1512" s="43" t="str">
        <f t="shared" si="448"/>
        <v/>
      </c>
    </row>
    <row r="1513" spans="1:25" hidden="1">
      <c r="A1513" s="155" t="s">
        <v>139</v>
      </c>
      <c r="B1513" s="156" t="s">
        <v>242</v>
      </c>
      <c r="C1513" s="411" t="s">
        <v>525</v>
      </c>
      <c r="D1513" s="351"/>
      <c r="E1513" s="405"/>
      <c r="F1513" s="406"/>
      <c r="G1513" s="158">
        <f>SUM(G1514:G1518)</f>
        <v>390.5585628</v>
      </c>
      <c r="H1513" s="465">
        <f>VLOOKUP(C1513,'ENSAIOS DE ORÇAMENTO'!$C$3:$L$79,8,FALSE)</f>
        <v>1542.1032384</v>
      </c>
      <c r="I1513" s="465">
        <f>IF(ISBLANK(H1513),"",SUM(G1513:H1513))*0.97</f>
        <v>1874.6819471639999</v>
      </c>
      <c r="J1513" s="407">
        <f t="shared" si="447"/>
        <v>2377.1</v>
      </c>
      <c r="K1513" s="408" t="s">
        <v>23</v>
      </c>
      <c r="L1513" s="152">
        <v>0</v>
      </c>
      <c r="M1513" s="152"/>
      <c r="N1513" s="402">
        <f t="shared" si="457"/>
        <v>0</v>
      </c>
      <c r="O1513" s="402">
        <f t="shared" si="458"/>
        <v>0</v>
      </c>
      <c r="P1513" s="403"/>
      <c r="Q1513" s="152">
        <f t="shared" si="466"/>
        <v>0</v>
      </c>
      <c r="R1513" s="152">
        <f t="shared" si="466"/>
        <v>0</v>
      </c>
      <c r="S1513" s="402">
        <f t="shared" si="459"/>
        <v>0</v>
      </c>
      <c r="T1513" s="404">
        <f t="shared" si="452"/>
        <v>0</v>
      </c>
      <c r="U1513" s="403"/>
      <c r="W1513" s="43" t="str">
        <f t="shared" si="444"/>
        <v/>
      </c>
      <c r="X1513" s="43" t="str">
        <f t="shared" si="454"/>
        <v/>
      </c>
      <c r="Y1513" s="43" t="str">
        <f t="shared" si="448"/>
        <v/>
      </c>
    </row>
    <row r="1514" spans="1:25" hidden="1">
      <c r="A1514" s="155" t="s">
        <v>183</v>
      </c>
      <c r="B1514" s="156"/>
      <c r="C1514" s="411" t="s">
        <v>251</v>
      </c>
      <c r="D1514" s="351"/>
      <c r="E1514" s="405">
        <v>500</v>
      </c>
      <c r="F1514" s="406">
        <f>VLOOKUP(C1513,'ENSAIOS DE ORÇAMENTO'!$C$3:$L$79,4,FALSE)</f>
        <v>0.78249919999999995</v>
      </c>
      <c r="G1514" s="158">
        <f>IF(E1514&lt;=30,(0.42*E1514+3.55)*F1514,((0.42*30+3.55)+0.35*(E1514-30))*F1514)</f>
        <v>141.35848048</v>
      </c>
      <c r="H1514" s="465"/>
      <c r="I1514" s="465"/>
      <c r="J1514" s="407">
        <f t="shared" si="447"/>
        <v>0</v>
      </c>
      <c r="K1514" s="408"/>
      <c r="L1514" s="152">
        <v>0</v>
      </c>
      <c r="M1514" s="213"/>
      <c r="N1514" s="402">
        <f t="shared" si="457"/>
        <v>0</v>
      </c>
      <c r="O1514" s="402">
        <f t="shared" si="458"/>
        <v>0</v>
      </c>
      <c r="P1514" s="403"/>
      <c r="Q1514" s="464"/>
      <c r="R1514" s="464"/>
      <c r="S1514" s="402">
        <f t="shared" si="459"/>
        <v>0</v>
      </c>
      <c r="T1514" s="404">
        <f t="shared" si="452"/>
        <v>0</v>
      </c>
      <c r="U1514" s="403"/>
      <c r="V1514" s="160" t="str">
        <f>IF(T1513&gt;0,"xx",IF(O1513&gt;0,"xy",""))</f>
        <v/>
      </c>
      <c r="W1514" s="43" t="str">
        <f t="shared" si="444"/>
        <v/>
      </c>
      <c r="X1514" s="43" t="str">
        <f t="shared" si="454"/>
        <v/>
      </c>
      <c r="Y1514" s="43" t="str">
        <f t="shared" si="448"/>
        <v/>
      </c>
    </row>
    <row r="1515" spans="1:25" hidden="1">
      <c r="A1515" s="155" t="s">
        <v>183</v>
      </c>
      <c r="B1515" s="156"/>
      <c r="C1515" s="411" t="s">
        <v>314</v>
      </c>
      <c r="D1515" s="351"/>
      <c r="E1515" s="405">
        <v>180</v>
      </c>
      <c r="F1515" s="406">
        <f>VLOOKUP(C1513,'ENSAIOS DE ORÇAMENTO'!$C$3:$L$79,5,FALSE)</f>
        <v>2.26417504</v>
      </c>
      <c r="G1515" s="158">
        <f t="shared" ref="G1515:G1517" si="473">IF(E1515&lt;=30,(0.6*E1515+1.25)*F1515,((0.6*30+1.25)+0.5*(E1515-30))*F1515)</f>
        <v>213.39849752000001</v>
      </c>
      <c r="H1515" s="465"/>
      <c r="I1515" s="465"/>
      <c r="J1515" s="407">
        <f t="shared" si="447"/>
        <v>0</v>
      </c>
      <c r="K1515" s="408"/>
      <c r="L1515" s="152">
        <v>0</v>
      </c>
      <c r="M1515" s="213"/>
      <c r="N1515" s="402">
        <f t="shared" si="457"/>
        <v>0</v>
      </c>
      <c r="O1515" s="402">
        <f t="shared" si="458"/>
        <v>0</v>
      </c>
      <c r="P1515" s="403"/>
      <c r="Q1515" s="464"/>
      <c r="R1515" s="464"/>
      <c r="S1515" s="402">
        <f t="shared" si="459"/>
        <v>0</v>
      </c>
      <c r="T1515" s="404">
        <f t="shared" si="452"/>
        <v>0</v>
      </c>
      <c r="U1515" s="403"/>
      <c r="V1515" s="160" t="str">
        <f>IF(T1513&gt;0,"xx",IF(O1513&gt;0,"xy",""))</f>
        <v/>
      </c>
      <c r="W1515" s="43" t="str">
        <f t="shared" si="444"/>
        <v/>
      </c>
      <c r="X1515" s="43" t="str">
        <f t="shared" si="454"/>
        <v/>
      </c>
      <c r="Y1515" s="43" t="str">
        <f t="shared" si="448"/>
        <v/>
      </c>
    </row>
    <row r="1516" spans="1:25" hidden="1">
      <c r="A1516" s="155" t="s">
        <v>183</v>
      </c>
      <c r="B1516" s="156"/>
      <c r="C1516" s="411" t="s">
        <v>323</v>
      </c>
      <c r="D1516" s="351"/>
      <c r="E1516" s="405">
        <v>20</v>
      </c>
      <c r="F1516" s="406">
        <f>VLOOKUP(C1513,'ENSAIOS DE ORÇAMENTO'!$C$3:$L$79,6,FALSE)</f>
        <v>2.7020064000000001</v>
      </c>
      <c r="G1516" s="158">
        <f t="shared" si="473"/>
        <v>35.801584800000001</v>
      </c>
      <c r="H1516" s="465"/>
      <c r="I1516" s="465"/>
      <c r="J1516" s="407">
        <f t="shared" si="447"/>
        <v>0</v>
      </c>
      <c r="K1516" s="408"/>
      <c r="L1516" s="152">
        <v>0</v>
      </c>
      <c r="M1516" s="213"/>
      <c r="N1516" s="402">
        <f t="shared" si="457"/>
        <v>0</v>
      </c>
      <c r="O1516" s="402">
        <f t="shared" si="458"/>
        <v>0</v>
      </c>
      <c r="P1516" s="403"/>
      <c r="Q1516" s="464"/>
      <c r="R1516" s="464"/>
      <c r="S1516" s="402">
        <f t="shared" si="459"/>
        <v>0</v>
      </c>
      <c r="T1516" s="404">
        <f t="shared" si="452"/>
        <v>0</v>
      </c>
      <c r="U1516" s="403"/>
      <c r="V1516" s="160" t="str">
        <f>IF(T1513&gt;0,"xx",IF(O1513&gt;0,"xy",""))</f>
        <v/>
      </c>
      <c r="W1516" s="43" t="str">
        <f t="shared" si="444"/>
        <v/>
      </c>
      <c r="X1516" s="43" t="str">
        <f t="shared" si="454"/>
        <v/>
      </c>
      <c r="Y1516" s="43" t="str">
        <f t="shared" si="448"/>
        <v/>
      </c>
    </row>
    <row r="1517" spans="1:25" hidden="1">
      <c r="A1517" s="155" t="s">
        <v>183</v>
      </c>
      <c r="B1517" s="156"/>
      <c r="C1517" s="411" t="s">
        <v>511</v>
      </c>
      <c r="D1517" s="351"/>
      <c r="E1517" s="405">
        <v>30</v>
      </c>
      <c r="F1517" s="406">
        <f>VLOOKUP(C1513,'ENSAIOS DE ORÇAMENTO'!$C$3:$L$79,3,FALSE)</f>
        <v>0</v>
      </c>
      <c r="G1517" s="158">
        <f t="shared" si="473"/>
        <v>0</v>
      </c>
      <c r="H1517" s="465"/>
      <c r="I1517" s="465"/>
      <c r="J1517" s="407">
        <f t="shared" si="447"/>
        <v>0</v>
      </c>
      <c r="K1517" s="408"/>
      <c r="L1517" s="152">
        <v>0</v>
      </c>
      <c r="M1517" s="213"/>
      <c r="N1517" s="402">
        <f t="shared" si="457"/>
        <v>0</v>
      </c>
      <c r="O1517" s="402">
        <f t="shared" si="458"/>
        <v>0</v>
      </c>
      <c r="P1517" s="403"/>
      <c r="Q1517" s="464"/>
      <c r="R1517" s="464"/>
      <c r="S1517" s="402">
        <f t="shared" si="459"/>
        <v>0</v>
      </c>
      <c r="T1517" s="404">
        <f t="shared" si="452"/>
        <v>0</v>
      </c>
      <c r="U1517" s="403"/>
      <c r="V1517" s="160" t="str">
        <f>IF(T1513&gt;0,"xx",IF(O1513&gt;0,"xy",""))</f>
        <v/>
      </c>
      <c r="W1517" s="43" t="str">
        <f t="shared" ref="W1517:W1580" si="474">IF(V1517="X","x",IF(V1517="xx","x",IF(V1517="xy","x",IF(V1517="y","x",IF(OR(O1517&gt;0,T1517&gt;0),"x","")))))</f>
        <v/>
      </c>
      <c r="X1517" s="43" t="str">
        <f t="shared" si="454"/>
        <v/>
      </c>
      <c r="Y1517" s="43" t="str">
        <f t="shared" si="448"/>
        <v/>
      </c>
    </row>
    <row r="1518" spans="1:25" hidden="1">
      <c r="A1518" s="155" t="s">
        <v>183</v>
      </c>
      <c r="B1518" s="156"/>
      <c r="C1518" s="411" t="s">
        <v>512</v>
      </c>
      <c r="D1518" s="351"/>
      <c r="E1518" s="405">
        <v>500</v>
      </c>
      <c r="F1518" s="406">
        <f>VLOOKUP(C1513,'ENSAIOS DE ORÇAMENTO'!$C$3:$L$79,10,FALSE)</f>
        <v>0</v>
      </c>
      <c r="G1518" s="158">
        <f t="shared" ref="G1518" si="475">IF(E1518&lt;=30,(0.42*E1518+3.55)*F1518,((0.42*30+3.55)+0.35*(E1518-30))*F1518)</f>
        <v>0</v>
      </c>
      <c r="H1518" s="465"/>
      <c r="I1518" s="465"/>
      <c r="J1518" s="407">
        <f t="shared" si="447"/>
        <v>0</v>
      </c>
      <c r="K1518" s="408"/>
      <c r="L1518" s="152">
        <v>0</v>
      </c>
      <c r="M1518" s="213"/>
      <c r="N1518" s="402">
        <f t="shared" si="457"/>
        <v>0</v>
      </c>
      <c r="O1518" s="402">
        <f t="shared" si="458"/>
        <v>0</v>
      </c>
      <c r="P1518" s="403"/>
      <c r="Q1518" s="464"/>
      <c r="R1518" s="464"/>
      <c r="S1518" s="402">
        <f t="shared" si="459"/>
        <v>0</v>
      </c>
      <c r="T1518" s="404">
        <f t="shared" si="452"/>
        <v>0</v>
      </c>
      <c r="U1518" s="403"/>
      <c r="V1518" s="160" t="str">
        <f>IF(T1513&gt;0,"xx",IF(O1513&gt;0,"xy",""))</f>
        <v/>
      </c>
      <c r="W1518" s="43" t="str">
        <f t="shared" si="474"/>
        <v/>
      </c>
      <c r="X1518" s="43" t="str">
        <f t="shared" si="454"/>
        <v/>
      </c>
      <c r="Y1518" s="43" t="str">
        <f t="shared" si="448"/>
        <v/>
      </c>
    </row>
    <row r="1519" spans="1:25" hidden="1">
      <c r="A1519" s="155" t="s">
        <v>140</v>
      </c>
      <c r="B1519" s="156" t="s">
        <v>242</v>
      </c>
      <c r="C1519" s="411" t="s">
        <v>526</v>
      </c>
      <c r="D1519" s="351"/>
      <c r="E1519" s="405"/>
      <c r="F1519" s="406"/>
      <c r="G1519" s="158">
        <f>SUM(G1520:G1524)</f>
        <v>70.298305200000016</v>
      </c>
      <c r="H1519" s="465">
        <f>VLOOKUP(C1519,'ENSAIOS DE ORÇAMENTO'!$C$3:$L$79,8,FALSE)</f>
        <v>581.86185493333335</v>
      </c>
      <c r="I1519" s="465">
        <f>IF(ISBLANK(H1519),"",SUM(G1519:H1519))*0.94</f>
        <v>613.03055052533341</v>
      </c>
      <c r="J1519" s="407">
        <f t="shared" si="447"/>
        <v>777.32</v>
      </c>
      <c r="K1519" s="408" t="s">
        <v>23</v>
      </c>
      <c r="L1519" s="152">
        <v>0</v>
      </c>
      <c r="M1519" s="152"/>
      <c r="N1519" s="402">
        <f t="shared" si="457"/>
        <v>0</v>
      </c>
      <c r="O1519" s="402">
        <f t="shared" si="458"/>
        <v>0</v>
      </c>
      <c r="P1519" s="403"/>
      <c r="Q1519" s="152">
        <f t="shared" si="466"/>
        <v>0</v>
      </c>
      <c r="R1519" s="152">
        <f t="shared" si="466"/>
        <v>0</v>
      </c>
      <c r="S1519" s="402">
        <f t="shared" si="459"/>
        <v>0</v>
      </c>
      <c r="T1519" s="404">
        <f t="shared" si="452"/>
        <v>0</v>
      </c>
      <c r="U1519" s="403"/>
      <c r="W1519" s="43" t="str">
        <f t="shared" si="474"/>
        <v/>
      </c>
      <c r="X1519" s="43" t="str">
        <f t="shared" si="454"/>
        <v/>
      </c>
      <c r="Y1519" s="43" t="str">
        <f t="shared" si="448"/>
        <v/>
      </c>
    </row>
    <row r="1520" spans="1:25" hidden="1">
      <c r="A1520" s="155" t="s">
        <v>183</v>
      </c>
      <c r="B1520" s="156"/>
      <c r="C1520" s="411" t="s">
        <v>251</v>
      </c>
      <c r="D1520" s="351"/>
      <c r="E1520" s="405">
        <v>500</v>
      </c>
      <c r="F1520" s="406">
        <f>VLOOKUP(C1519,'ENSAIOS DE ORÇAMENTO'!$C$3:$L$79,4,FALSE)</f>
        <v>0.13745280000000004</v>
      </c>
      <c r="G1520" s="158">
        <f>IF(E1520&lt;=30,(0.42*E1520+3.55)*F1520,((0.42*30+3.55)+0.35*(E1520-30))*F1520)</f>
        <v>24.830848320000008</v>
      </c>
      <c r="H1520" s="465"/>
      <c r="I1520" s="465"/>
      <c r="J1520" s="407">
        <f t="shared" si="447"/>
        <v>0</v>
      </c>
      <c r="K1520" s="408"/>
      <c r="L1520" s="152">
        <v>0</v>
      </c>
      <c r="M1520" s="213"/>
      <c r="N1520" s="402">
        <f t="shared" si="457"/>
        <v>0</v>
      </c>
      <c r="O1520" s="402">
        <f t="shared" si="458"/>
        <v>0</v>
      </c>
      <c r="P1520" s="403"/>
      <c r="Q1520" s="464"/>
      <c r="R1520" s="464"/>
      <c r="S1520" s="402">
        <f t="shared" si="459"/>
        <v>0</v>
      </c>
      <c r="T1520" s="404">
        <f t="shared" si="452"/>
        <v>0</v>
      </c>
      <c r="U1520" s="403"/>
      <c r="V1520" s="160" t="str">
        <f>IF(T1519&gt;0,"xx",IF(O1519&gt;0,"xy",""))</f>
        <v/>
      </c>
      <c r="W1520" s="43" t="str">
        <f t="shared" si="474"/>
        <v/>
      </c>
      <c r="X1520" s="43" t="str">
        <f t="shared" si="454"/>
        <v/>
      </c>
      <c r="Y1520" s="43" t="str">
        <f t="shared" si="448"/>
        <v/>
      </c>
    </row>
    <row r="1521" spans="1:25" hidden="1">
      <c r="A1521" s="155" t="s">
        <v>183</v>
      </c>
      <c r="B1521" s="156"/>
      <c r="C1521" s="411" t="s">
        <v>314</v>
      </c>
      <c r="D1521" s="351"/>
      <c r="E1521" s="405">
        <v>180</v>
      </c>
      <c r="F1521" s="406">
        <f>VLOOKUP(C1519,'ENSAIOS DE ORÇAMENTO'!$C$3:$L$79,5,FALSE)</f>
        <v>0.41372736000000004</v>
      </c>
      <c r="G1521" s="158">
        <f t="shared" ref="G1521:G1523" si="476">IF(E1521&lt;=30,(0.6*E1521+1.25)*F1521,((0.6*30+1.25)+0.5*(E1521-30))*F1521)</f>
        <v>38.993803680000006</v>
      </c>
      <c r="H1521" s="465"/>
      <c r="I1521" s="465"/>
      <c r="J1521" s="407">
        <f t="shared" si="447"/>
        <v>0</v>
      </c>
      <c r="K1521" s="408"/>
      <c r="L1521" s="152">
        <v>0</v>
      </c>
      <c r="M1521" s="213"/>
      <c r="N1521" s="402">
        <f t="shared" si="457"/>
        <v>0</v>
      </c>
      <c r="O1521" s="402">
        <f t="shared" si="458"/>
        <v>0</v>
      </c>
      <c r="P1521" s="403"/>
      <c r="Q1521" s="464"/>
      <c r="R1521" s="464"/>
      <c r="S1521" s="402">
        <f t="shared" si="459"/>
        <v>0</v>
      </c>
      <c r="T1521" s="404">
        <f t="shared" si="452"/>
        <v>0</v>
      </c>
      <c r="U1521" s="403"/>
      <c r="V1521" s="160" t="str">
        <f>IF(T1519&gt;0,"xx",IF(O1519&gt;0,"xy",""))</f>
        <v/>
      </c>
      <c r="W1521" s="43" t="str">
        <f t="shared" si="474"/>
        <v/>
      </c>
      <c r="X1521" s="43" t="str">
        <f t="shared" si="454"/>
        <v/>
      </c>
      <c r="Y1521" s="43" t="str">
        <f t="shared" si="448"/>
        <v/>
      </c>
    </row>
    <row r="1522" spans="1:25" hidden="1">
      <c r="A1522" s="155" t="s">
        <v>183</v>
      </c>
      <c r="B1522" s="156"/>
      <c r="C1522" s="411" t="s">
        <v>323</v>
      </c>
      <c r="D1522" s="351"/>
      <c r="E1522" s="405">
        <v>20</v>
      </c>
      <c r="F1522" s="406">
        <f>VLOOKUP(C1519,'ENSAIOS DE ORÇAMENTO'!$C$3:$L$79,6,FALSE)</f>
        <v>0.48857760000000011</v>
      </c>
      <c r="G1522" s="158">
        <f t="shared" si="476"/>
        <v>6.4736532000000011</v>
      </c>
      <c r="H1522" s="465"/>
      <c r="I1522" s="465"/>
      <c r="J1522" s="407">
        <f t="shared" ref="J1522:J1585" si="477">IF(ISBLANK(H1522),0,ROUND(I1522*(1+$E$10)*(1+$E$11*D1522),2))</f>
        <v>0</v>
      </c>
      <c r="K1522" s="408"/>
      <c r="L1522" s="152">
        <v>0</v>
      </c>
      <c r="M1522" s="213"/>
      <c r="N1522" s="402">
        <f t="shared" si="457"/>
        <v>0</v>
      </c>
      <c r="O1522" s="402">
        <f t="shared" si="458"/>
        <v>0</v>
      </c>
      <c r="P1522" s="403"/>
      <c r="Q1522" s="464"/>
      <c r="R1522" s="464"/>
      <c r="S1522" s="402">
        <f t="shared" si="459"/>
        <v>0</v>
      </c>
      <c r="T1522" s="404">
        <f t="shared" si="452"/>
        <v>0</v>
      </c>
      <c r="U1522" s="403"/>
      <c r="V1522" s="160" t="str">
        <f>IF(T1519&gt;0,"xx",IF(O1519&gt;0,"xy",""))</f>
        <v/>
      </c>
      <c r="W1522" s="43" t="str">
        <f t="shared" si="474"/>
        <v/>
      </c>
      <c r="X1522" s="43" t="str">
        <f t="shared" si="454"/>
        <v/>
      </c>
      <c r="Y1522" s="43" t="str">
        <f t="shared" si="448"/>
        <v/>
      </c>
    </row>
    <row r="1523" spans="1:25" hidden="1">
      <c r="A1523" s="155" t="s">
        <v>183</v>
      </c>
      <c r="B1523" s="156"/>
      <c r="C1523" s="411" t="s">
        <v>511</v>
      </c>
      <c r="D1523" s="351"/>
      <c r="E1523" s="405">
        <v>30</v>
      </c>
      <c r="F1523" s="406">
        <f>VLOOKUP(C1519,'ENSAIOS DE ORÇAMENTO'!$C$3:$L$79,3,FALSE)</f>
        <v>0</v>
      </c>
      <c r="G1523" s="158">
        <f t="shared" si="476"/>
        <v>0</v>
      </c>
      <c r="H1523" s="465"/>
      <c r="I1523" s="465"/>
      <c r="J1523" s="407">
        <f t="shared" si="477"/>
        <v>0</v>
      </c>
      <c r="K1523" s="408"/>
      <c r="L1523" s="152">
        <v>0</v>
      </c>
      <c r="M1523" s="213"/>
      <c r="N1523" s="402">
        <f t="shared" si="457"/>
        <v>0</v>
      </c>
      <c r="O1523" s="402">
        <f t="shared" si="458"/>
        <v>0</v>
      </c>
      <c r="P1523" s="403"/>
      <c r="Q1523" s="464"/>
      <c r="R1523" s="464"/>
      <c r="S1523" s="402">
        <f t="shared" si="459"/>
        <v>0</v>
      </c>
      <c r="T1523" s="404">
        <f t="shared" si="452"/>
        <v>0</v>
      </c>
      <c r="U1523" s="403"/>
      <c r="V1523" s="160" t="str">
        <f>IF(T1519&gt;0,"xx",IF(O1519&gt;0,"xy",""))</f>
        <v/>
      </c>
      <c r="W1523" s="43" t="str">
        <f t="shared" si="474"/>
        <v/>
      </c>
      <c r="X1523" s="43" t="str">
        <f t="shared" si="454"/>
        <v/>
      </c>
      <c r="Y1523" s="43" t="str">
        <f t="shared" si="448"/>
        <v/>
      </c>
    </row>
    <row r="1524" spans="1:25" hidden="1">
      <c r="A1524" s="155" t="s">
        <v>183</v>
      </c>
      <c r="B1524" s="156"/>
      <c r="C1524" s="411" t="s">
        <v>512</v>
      </c>
      <c r="D1524" s="351"/>
      <c r="E1524" s="405">
        <v>500</v>
      </c>
      <c r="F1524" s="406">
        <f>VLOOKUP(C1519,'ENSAIOS DE ORÇAMENTO'!$C$3:$L$79,10,FALSE)</f>
        <v>0</v>
      </c>
      <c r="G1524" s="158">
        <f t="shared" ref="G1524" si="478">IF(E1524&lt;=30,(0.42*E1524+3.55)*F1524,((0.42*30+3.55)+0.35*(E1524-30))*F1524)</f>
        <v>0</v>
      </c>
      <c r="H1524" s="465"/>
      <c r="I1524" s="465"/>
      <c r="J1524" s="407">
        <f t="shared" si="477"/>
        <v>0</v>
      </c>
      <c r="K1524" s="408"/>
      <c r="L1524" s="152">
        <v>0</v>
      </c>
      <c r="M1524" s="213"/>
      <c r="N1524" s="402">
        <f t="shared" si="457"/>
        <v>0</v>
      </c>
      <c r="O1524" s="402">
        <f t="shared" si="458"/>
        <v>0</v>
      </c>
      <c r="P1524" s="403"/>
      <c r="Q1524" s="464"/>
      <c r="R1524" s="464"/>
      <c r="S1524" s="402">
        <f t="shared" si="459"/>
        <v>0</v>
      </c>
      <c r="T1524" s="404">
        <f t="shared" si="452"/>
        <v>0</v>
      </c>
      <c r="U1524" s="403"/>
      <c r="V1524" s="160" t="str">
        <f>IF(T1519&gt;0,"xx",IF(O1519&gt;0,"xy",""))</f>
        <v/>
      </c>
      <c r="W1524" s="43" t="str">
        <f t="shared" si="474"/>
        <v/>
      </c>
      <c r="X1524" s="43" t="str">
        <f t="shared" si="454"/>
        <v/>
      </c>
      <c r="Y1524" s="43" t="str">
        <f t="shared" ref="Y1524:Y1587" si="479">IF(V1524="X","x",IF(T1524&gt;0,"x",""))</f>
        <v/>
      </c>
    </row>
    <row r="1525" spans="1:25" hidden="1">
      <c r="A1525" s="155" t="s">
        <v>43</v>
      </c>
      <c r="B1525" s="156" t="s">
        <v>242</v>
      </c>
      <c r="C1525" s="411" t="s">
        <v>527</v>
      </c>
      <c r="D1525" s="351"/>
      <c r="E1525" s="405"/>
      <c r="F1525" s="406"/>
      <c r="G1525" s="158">
        <f>SUM(G1526:G1530)</f>
        <v>106.88234251499999</v>
      </c>
      <c r="H1525" s="465">
        <f>VLOOKUP(C1525,'ENSAIOS DE ORÇAMENTO'!$C$3:$L$79,8,FALSE)</f>
        <v>918.90643245333331</v>
      </c>
      <c r="I1525" s="465">
        <f>IF(ISBLANK(H1525),"",SUM(G1525:H1525))*0.93</f>
        <v>953.98356072054992</v>
      </c>
      <c r="J1525" s="407">
        <f t="shared" si="477"/>
        <v>1209.6500000000001</v>
      </c>
      <c r="K1525" s="408" t="s">
        <v>23</v>
      </c>
      <c r="L1525" s="152">
        <v>0</v>
      </c>
      <c r="M1525" s="152"/>
      <c r="N1525" s="402">
        <f t="shared" si="457"/>
        <v>0</v>
      </c>
      <c r="O1525" s="402">
        <f t="shared" si="458"/>
        <v>0</v>
      </c>
      <c r="P1525" s="403"/>
      <c r="Q1525" s="152">
        <f t="shared" si="466"/>
        <v>0</v>
      </c>
      <c r="R1525" s="152">
        <f t="shared" si="466"/>
        <v>0</v>
      </c>
      <c r="S1525" s="402">
        <f t="shared" si="459"/>
        <v>0</v>
      </c>
      <c r="T1525" s="404">
        <f t="shared" si="452"/>
        <v>0</v>
      </c>
      <c r="U1525" s="403"/>
      <c r="W1525" s="43" t="str">
        <f t="shared" si="474"/>
        <v/>
      </c>
      <c r="X1525" s="43" t="str">
        <f t="shared" si="454"/>
        <v/>
      </c>
      <c r="Y1525" s="43" t="str">
        <f t="shared" si="479"/>
        <v/>
      </c>
    </row>
    <row r="1526" spans="1:25" hidden="1">
      <c r="A1526" s="155" t="s">
        <v>183</v>
      </c>
      <c r="B1526" s="156"/>
      <c r="C1526" s="411" t="s">
        <v>251</v>
      </c>
      <c r="D1526" s="351"/>
      <c r="E1526" s="405">
        <v>500</v>
      </c>
      <c r="F1526" s="406">
        <f>VLOOKUP(C1525,'ENSAIOS DE ORÇAMENTO'!$C$3:$L$79,4,FALSE)</f>
        <v>0.21237996000000001</v>
      </c>
      <c r="G1526" s="158">
        <f>IF(E1526&lt;=30,(0.42*E1526+3.55)*F1526,((0.42*30+3.55)+0.35*(E1526-30))*F1526)</f>
        <v>38.366439774</v>
      </c>
      <c r="H1526" s="465"/>
      <c r="I1526" s="465"/>
      <c r="J1526" s="407">
        <f t="shared" si="477"/>
        <v>0</v>
      </c>
      <c r="K1526" s="408"/>
      <c r="L1526" s="152">
        <v>0</v>
      </c>
      <c r="M1526" s="213"/>
      <c r="N1526" s="402">
        <f t="shared" si="457"/>
        <v>0</v>
      </c>
      <c r="O1526" s="402">
        <f t="shared" si="458"/>
        <v>0</v>
      </c>
      <c r="P1526" s="403"/>
      <c r="Q1526" s="464"/>
      <c r="R1526" s="464"/>
      <c r="S1526" s="402">
        <f t="shared" si="459"/>
        <v>0</v>
      </c>
      <c r="T1526" s="404">
        <f t="shared" si="452"/>
        <v>0</v>
      </c>
      <c r="U1526" s="403"/>
      <c r="V1526" s="160" t="str">
        <f>IF(T1525&gt;0,"xx",IF(O1525&gt;0,"xy",""))</f>
        <v/>
      </c>
      <c r="W1526" s="43" t="str">
        <f t="shared" si="474"/>
        <v/>
      </c>
      <c r="X1526" s="43" t="str">
        <f t="shared" si="454"/>
        <v/>
      </c>
      <c r="Y1526" s="43" t="str">
        <f t="shared" si="479"/>
        <v/>
      </c>
    </row>
    <row r="1527" spans="1:25" hidden="1">
      <c r="A1527" s="155" t="s">
        <v>183</v>
      </c>
      <c r="B1527" s="156"/>
      <c r="C1527" s="411" t="s">
        <v>314</v>
      </c>
      <c r="D1527" s="351"/>
      <c r="E1527" s="405">
        <v>180</v>
      </c>
      <c r="F1527" s="406">
        <f>VLOOKUP(C1525,'ENSAIOS DE ORÇAMENTO'!$C$3:$L$79,5,FALSE)</f>
        <v>0.62284225199999999</v>
      </c>
      <c r="G1527" s="158">
        <f t="shared" ref="G1527:G1529" si="480">IF(E1527&lt;=30,(0.6*E1527+1.25)*F1527,((0.6*30+1.25)+0.5*(E1527-30))*F1527)</f>
        <v>58.702882250999998</v>
      </c>
      <c r="H1527" s="465"/>
      <c r="I1527" s="465"/>
      <c r="J1527" s="407">
        <f t="shared" si="477"/>
        <v>0</v>
      </c>
      <c r="K1527" s="408"/>
      <c r="L1527" s="152">
        <v>0</v>
      </c>
      <c r="M1527" s="213"/>
      <c r="N1527" s="402">
        <f t="shared" si="457"/>
        <v>0</v>
      </c>
      <c r="O1527" s="402">
        <f t="shared" si="458"/>
        <v>0</v>
      </c>
      <c r="P1527" s="403"/>
      <c r="Q1527" s="464"/>
      <c r="R1527" s="464"/>
      <c r="S1527" s="402">
        <f t="shared" si="459"/>
        <v>0</v>
      </c>
      <c r="T1527" s="404">
        <f t="shared" si="452"/>
        <v>0</v>
      </c>
      <c r="U1527" s="403"/>
      <c r="V1527" s="160" t="str">
        <f>IF(T1525&gt;0,"xx",IF(O1525&gt;0,"xy",""))</f>
        <v/>
      </c>
      <c r="W1527" s="43" t="str">
        <f t="shared" si="474"/>
        <v/>
      </c>
      <c r="X1527" s="43" t="str">
        <f t="shared" si="454"/>
        <v/>
      </c>
      <c r="Y1527" s="43" t="str">
        <f t="shared" si="479"/>
        <v/>
      </c>
    </row>
    <row r="1528" spans="1:25" hidden="1">
      <c r="A1528" s="155" t="s">
        <v>183</v>
      </c>
      <c r="B1528" s="156"/>
      <c r="C1528" s="411" t="s">
        <v>323</v>
      </c>
      <c r="D1528" s="351"/>
      <c r="E1528" s="405">
        <v>20</v>
      </c>
      <c r="F1528" s="406">
        <f>VLOOKUP(C1525,'ENSAIOS DE ORÇAMENTO'!$C$3:$L$79,6,FALSE)</f>
        <v>0.74060532000000001</v>
      </c>
      <c r="G1528" s="158">
        <f t="shared" si="480"/>
        <v>9.8130204899999995</v>
      </c>
      <c r="H1528" s="465"/>
      <c r="I1528" s="465"/>
      <c r="J1528" s="407">
        <f t="shared" si="477"/>
        <v>0</v>
      </c>
      <c r="K1528" s="408"/>
      <c r="L1528" s="152">
        <v>0</v>
      </c>
      <c r="M1528" s="213"/>
      <c r="N1528" s="402">
        <f t="shared" si="457"/>
        <v>0</v>
      </c>
      <c r="O1528" s="402">
        <f t="shared" si="458"/>
        <v>0</v>
      </c>
      <c r="P1528" s="403"/>
      <c r="Q1528" s="464"/>
      <c r="R1528" s="464"/>
      <c r="S1528" s="402">
        <f t="shared" si="459"/>
        <v>0</v>
      </c>
      <c r="T1528" s="404">
        <f t="shared" si="452"/>
        <v>0</v>
      </c>
      <c r="U1528" s="403"/>
      <c r="V1528" s="160" t="str">
        <f>IF(T1525&gt;0,"xx",IF(O1525&gt;0,"xy",""))</f>
        <v/>
      </c>
      <c r="W1528" s="43" t="str">
        <f t="shared" si="474"/>
        <v/>
      </c>
      <c r="X1528" s="43" t="str">
        <f t="shared" si="454"/>
        <v/>
      </c>
      <c r="Y1528" s="43" t="str">
        <f t="shared" si="479"/>
        <v/>
      </c>
    </row>
    <row r="1529" spans="1:25" hidden="1">
      <c r="A1529" s="155" t="s">
        <v>183</v>
      </c>
      <c r="B1529" s="156"/>
      <c r="C1529" s="411" t="s">
        <v>511</v>
      </c>
      <c r="D1529" s="351"/>
      <c r="E1529" s="405">
        <v>30</v>
      </c>
      <c r="F1529" s="406">
        <f>VLOOKUP(C1525,'ENSAIOS DE ORÇAMENTO'!$C$3:$L$79,3,FALSE)</f>
        <v>0</v>
      </c>
      <c r="G1529" s="158">
        <f t="shared" si="480"/>
        <v>0</v>
      </c>
      <c r="H1529" s="465"/>
      <c r="I1529" s="465"/>
      <c r="J1529" s="407">
        <f t="shared" si="477"/>
        <v>0</v>
      </c>
      <c r="K1529" s="408"/>
      <c r="L1529" s="152">
        <v>0</v>
      </c>
      <c r="M1529" s="213"/>
      <c r="N1529" s="402">
        <f t="shared" si="457"/>
        <v>0</v>
      </c>
      <c r="O1529" s="402">
        <f t="shared" si="458"/>
        <v>0</v>
      </c>
      <c r="P1529" s="403"/>
      <c r="Q1529" s="464"/>
      <c r="R1529" s="464"/>
      <c r="S1529" s="402">
        <f t="shared" si="459"/>
        <v>0</v>
      </c>
      <c r="T1529" s="404">
        <f t="shared" si="452"/>
        <v>0</v>
      </c>
      <c r="U1529" s="403"/>
      <c r="V1529" s="160" t="str">
        <f>IF(T1525&gt;0,"xx",IF(O1525&gt;0,"xy",""))</f>
        <v/>
      </c>
      <c r="W1529" s="43" t="str">
        <f t="shared" si="474"/>
        <v/>
      </c>
      <c r="X1529" s="43" t="str">
        <f t="shared" si="454"/>
        <v/>
      </c>
      <c r="Y1529" s="43" t="str">
        <f t="shared" si="479"/>
        <v/>
      </c>
    </row>
    <row r="1530" spans="1:25" hidden="1">
      <c r="A1530" s="155" t="s">
        <v>183</v>
      </c>
      <c r="B1530" s="156"/>
      <c r="C1530" s="411" t="s">
        <v>512</v>
      </c>
      <c r="D1530" s="351"/>
      <c r="E1530" s="405">
        <v>500</v>
      </c>
      <c r="F1530" s="406">
        <f>VLOOKUP(C1525,'ENSAIOS DE ORÇAMENTO'!$C$3:$L$79,10,FALSE)</f>
        <v>0</v>
      </c>
      <c r="G1530" s="158">
        <f t="shared" ref="G1530" si="481">IF(E1530&lt;=30,(0.42*E1530+3.55)*F1530,((0.42*30+3.55)+0.35*(E1530-30))*F1530)</f>
        <v>0</v>
      </c>
      <c r="H1530" s="465"/>
      <c r="I1530" s="465"/>
      <c r="J1530" s="407">
        <f t="shared" si="477"/>
        <v>0</v>
      </c>
      <c r="K1530" s="408"/>
      <c r="L1530" s="152">
        <v>0</v>
      </c>
      <c r="M1530" s="213"/>
      <c r="N1530" s="402">
        <f t="shared" si="457"/>
        <v>0</v>
      </c>
      <c r="O1530" s="402">
        <f t="shared" si="458"/>
        <v>0</v>
      </c>
      <c r="P1530" s="403"/>
      <c r="Q1530" s="464"/>
      <c r="R1530" s="464"/>
      <c r="S1530" s="402">
        <f t="shared" si="459"/>
        <v>0</v>
      </c>
      <c r="T1530" s="404">
        <f t="shared" si="452"/>
        <v>0</v>
      </c>
      <c r="U1530" s="403"/>
      <c r="V1530" s="160" t="str">
        <f>IF(T1525&gt;0,"xx",IF(O1525&gt;0,"xy",""))</f>
        <v/>
      </c>
      <c r="W1530" s="43" t="str">
        <f t="shared" si="474"/>
        <v/>
      </c>
      <c r="X1530" s="43" t="str">
        <f t="shared" si="454"/>
        <v/>
      </c>
      <c r="Y1530" s="43" t="str">
        <f t="shared" si="479"/>
        <v/>
      </c>
    </row>
    <row r="1531" spans="1:25" hidden="1">
      <c r="A1531" s="155" t="s">
        <v>44</v>
      </c>
      <c r="B1531" s="156" t="s">
        <v>242</v>
      </c>
      <c r="C1531" s="411" t="s">
        <v>528</v>
      </c>
      <c r="D1531" s="351"/>
      <c r="E1531" s="405"/>
      <c r="F1531" s="406"/>
      <c r="G1531" s="158">
        <f>SUM(G1532:G1536)</f>
        <v>192.16873914374995</v>
      </c>
      <c r="H1531" s="465">
        <f>VLOOKUP(C1531,'ENSAIOS DE ORÇAMENTO'!$C$3:$L$79,8,FALSE)</f>
        <v>1575.0684005666667</v>
      </c>
      <c r="I1531" s="465">
        <f>IF(ISBLANK(H1531),"",SUM(G1531:H1531))*0.93</f>
        <v>1643.5305399306876</v>
      </c>
      <c r="J1531" s="407">
        <f t="shared" si="477"/>
        <v>2084</v>
      </c>
      <c r="K1531" s="408" t="s">
        <v>23</v>
      </c>
      <c r="L1531" s="152">
        <v>0</v>
      </c>
      <c r="M1531" s="152"/>
      <c r="N1531" s="402">
        <f t="shared" si="457"/>
        <v>0</v>
      </c>
      <c r="O1531" s="402">
        <f t="shared" si="458"/>
        <v>0</v>
      </c>
      <c r="P1531" s="403"/>
      <c r="Q1531" s="152">
        <f t="shared" si="466"/>
        <v>0</v>
      </c>
      <c r="R1531" s="152">
        <f t="shared" si="466"/>
        <v>0</v>
      </c>
      <c r="S1531" s="402">
        <f t="shared" si="459"/>
        <v>0</v>
      </c>
      <c r="T1531" s="404">
        <f t="shared" si="452"/>
        <v>0</v>
      </c>
      <c r="U1531" s="403"/>
      <c r="W1531" s="43" t="str">
        <f t="shared" si="474"/>
        <v/>
      </c>
      <c r="X1531" s="43" t="str">
        <f t="shared" si="454"/>
        <v/>
      </c>
      <c r="Y1531" s="43" t="str">
        <f t="shared" si="479"/>
        <v/>
      </c>
    </row>
    <row r="1532" spans="1:25" hidden="1">
      <c r="A1532" s="155" t="s">
        <v>183</v>
      </c>
      <c r="B1532" s="156"/>
      <c r="C1532" s="411" t="s">
        <v>251</v>
      </c>
      <c r="D1532" s="351"/>
      <c r="E1532" s="405">
        <v>500</v>
      </c>
      <c r="F1532" s="406">
        <f>VLOOKUP(C1531,'ENSAIOS DE ORÇAMENTO'!$C$3:$L$79,4,FALSE)</f>
        <v>0.38487894999999994</v>
      </c>
      <c r="G1532" s="158">
        <f>IF(E1532&lt;=30,(0.42*E1532+3.55)*F1532,((0.42*30+3.55)+0.35*(E1532-30))*F1532)</f>
        <v>69.52838231749999</v>
      </c>
      <c r="H1532" s="465"/>
      <c r="I1532" s="465"/>
      <c r="J1532" s="407">
        <f t="shared" si="477"/>
        <v>0</v>
      </c>
      <c r="K1532" s="408"/>
      <c r="L1532" s="152">
        <v>0</v>
      </c>
      <c r="M1532" s="213"/>
      <c r="N1532" s="402">
        <f t="shared" si="457"/>
        <v>0</v>
      </c>
      <c r="O1532" s="402">
        <f t="shared" si="458"/>
        <v>0</v>
      </c>
      <c r="P1532" s="403"/>
      <c r="Q1532" s="464"/>
      <c r="R1532" s="464"/>
      <c r="S1532" s="402">
        <f t="shared" si="459"/>
        <v>0</v>
      </c>
      <c r="T1532" s="404">
        <f t="shared" si="452"/>
        <v>0</v>
      </c>
      <c r="U1532" s="403"/>
      <c r="V1532" s="160" t="str">
        <f>IF(T1531&gt;0,"xx",IF(O1531&gt;0,"xy",""))</f>
        <v/>
      </c>
      <c r="W1532" s="43" t="str">
        <f t="shared" si="474"/>
        <v/>
      </c>
      <c r="X1532" s="43" t="str">
        <f t="shared" si="454"/>
        <v/>
      </c>
      <c r="Y1532" s="43" t="str">
        <f t="shared" si="479"/>
        <v/>
      </c>
    </row>
    <row r="1533" spans="1:25" hidden="1">
      <c r="A1533" s="155" t="s">
        <v>183</v>
      </c>
      <c r="B1533" s="156"/>
      <c r="C1533" s="411" t="s">
        <v>314</v>
      </c>
      <c r="D1533" s="351"/>
      <c r="E1533" s="405">
        <v>180</v>
      </c>
      <c r="F1533" s="406">
        <f>VLOOKUP(C1531,'ENSAIOS DE ORÇAMENTO'!$C$3:$L$79,5,FALSE)</f>
        <v>1.1143076149999998</v>
      </c>
      <c r="G1533" s="158">
        <f t="shared" ref="G1533:G1535" si="482">IF(E1533&lt;=30,(0.6*E1533+1.25)*F1533,((0.6*30+1.25)+0.5*(E1533-30))*F1533)</f>
        <v>105.02349271374997</v>
      </c>
      <c r="H1533" s="465"/>
      <c r="I1533" s="465"/>
      <c r="J1533" s="407">
        <f t="shared" si="477"/>
        <v>0</v>
      </c>
      <c r="K1533" s="408"/>
      <c r="L1533" s="152">
        <v>0</v>
      </c>
      <c r="M1533" s="213"/>
      <c r="N1533" s="402">
        <f t="shared" si="457"/>
        <v>0</v>
      </c>
      <c r="O1533" s="402">
        <f t="shared" si="458"/>
        <v>0</v>
      </c>
      <c r="P1533" s="403"/>
      <c r="Q1533" s="464"/>
      <c r="R1533" s="464"/>
      <c r="S1533" s="402">
        <f t="shared" si="459"/>
        <v>0</v>
      </c>
      <c r="T1533" s="404">
        <f t="shared" ref="T1533:T1596" si="483">IF(ISBLANK(Q1533),0,ROUND(Q1533*R1533,2))</f>
        <v>0</v>
      </c>
      <c r="U1533" s="403"/>
      <c r="V1533" s="160" t="str">
        <f>IF(T1531&gt;0,"xx",IF(O1531&gt;0,"xy",""))</f>
        <v/>
      </c>
      <c r="W1533" s="43" t="str">
        <f t="shared" si="474"/>
        <v/>
      </c>
      <c r="X1533" s="43" t="str">
        <f t="shared" si="454"/>
        <v/>
      </c>
      <c r="Y1533" s="43" t="str">
        <f t="shared" si="479"/>
        <v/>
      </c>
    </row>
    <row r="1534" spans="1:25" hidden="1">
      <c r="A1534" s="155" t="s">
        <v>183</v>
      </c>
      <c r="B1534" s="156"/>
      <c r="C1534" s="411" t="s">
        <v>323</v>
      </c>
      <c r="D1534" s="351"/>
      <c r="E1534" s="405">
        <v>20</v>
      </c>
      <c r="F1534" s="406">
        <f>VLOOKUP(C1531,'ENSAIOS DE ORÇAMENTO'!$C$3:$L$79,6,FALSE)</f>
        <v>1.3295746499999999</v>
      </c>
      <c r="G1534" s="158">
        <f t="shared" si="482"/>
        <v>17.616864112499997</v>
      </c>
      <c r="H1534" s="465"/>
      <c r="I1534" s="465"/>
      <c r="J1534" s="407">
        <f t="shared" si="477"/>
        <v>0</v>
      </c>
      <c r="K1534" s="408"/>
      <c r="L1534" s="152">
        <v>0</v>
      </c>
      <c r="M1534" s="213"/>
      <c r="N1534" s="402">
        <f t="shared" si="457"/>
        <v>0</v>
      </c>
      <c r="O1534" s="402">
        <f t="shared" si="458"/>
        <v>0</v>
      </c>
      <c r="P1534" s="403"/>
      <c r="Q1534" s="464"/>
      <c r="R1534" s="464"/>
      <c r="S1534" s="402">
        <f t="shared" si="459"/>
        <v>0</v>
      </c>
      <c r="T1534" s="404">
        <f t="shared" si="483"/>
        <v>0</v>
      </c>
      <c r="U1534" s="403"/>
      <c r="V1534" s="160" t="str">
        <f>IF(T1531&gt;0,"xx",IF(O1531&gt;0,"xy",""))</f>
        <v/>
      </c>
      <c r="W1534" s="43" t="str">
        <f t="shared" si="474"/>
        <v/>
      </c>
      <c r="X1534" s="43" t="str">
        <f t="shared" si="454"/>
        <v/>
      </c>
      <c r="Y1534" s="43" t="str">
        <f t="shared" si="479"/>
        <v/>
      </c>
    </row>
    <row r="1535" spans="1:25" hidden="1">
      <c r="A1535" s="155" t="s">
        <v>183</v>
      </c>
      <c r="B1535" s="156"/>
      <c r="C1535" s="411" t="s">
        <v>511</v>
      </c>
      <c r="D1535" s="351"/>
      <c r="E1535" s="405">
        <v>30</v>
      </c>
      <c r="F1535" s="406">
        <f>VLOOKUP(C1531,'ENSAIOS DE ORÇAMENTO'!$C$3:$L$79,3,FALSE)</f>
        <v>0</v>
      </c>
      <c r="G1535" s="158">
        <f t="shared" si="482"/>
        <v>0</v>
      </c>
      <c r="H1535" s="465"/>
      <c r="I1535" s="465"/>
      <c r="J1535" s="407">
        <f t="shared" si="477"/>
        <v>0</v>
      </c>
      <c r="K1535" s="408"/>
      <c r="L1535" s="152">
        <v>0</v>
      </c>
      <c r="M1535" s="213"/>
      <c r="N1535" s="402">
        <f t="shared" si="457"/>
        <v>0</v>
      </c>
      <c r="O1535" s="402">
        <f t="shared" si="458"/>
        <v>0</v>
      </c>
      <c r="P1535" s="403"/>
      <c r="Q1535" s="464"/>
      <c r="R1535" s="464"/>
      <c r="S1535" s="402">
        <f t="shared" si="459"/>
        <v>0</v>
      </c>
      <c r="T1535" s="404">
        <f t="shared" si="483"/>
        <v>0</v>
      </c>
      <c r="U1535" s="403"/>
      <c r="V1535" s="160" t="str">
        <f>IF(T1531&gt;0,"xx",IF(O1531&gt;0,"xy",""))</f>
        <v/>
      </c>
      <c r="W1535" s="43" t="str">
        <f t="shared" si="474"/>
        <v/>
      </c>
      <c r="X1535" s="43" t="str">
        <f t="shared" ref="X1535:X1598" si="484">IF(V1535="X","x",IF(V1535="y","x",IF(V1535="xx","x",IF(T1535&gt;0,"x",""))))</f>
        <v/>
      </c>
      <c r="Y1535" s="43" t="str">
        <f t="shared" si="479"/>
        <v/>
      </c>
    </row>
    <row r="1536" spans="1:25" hidden="1">
      <c r="A1536" s="155" t="s">
        <v>183</v>
      </c>
      <c r="B1536" s="156"/>
      <c r="C1536" s="411" t="s">
        <v>512</v>
      </c>
      <c r="D1536" s="351"/>
      <c r="E1536" s="405">
        <v>500</v>
      </c>
      <c r="F1536" s="406">
        <f>VLOOKUP(C1531,'ENSAIOS DE ORÇAMENTO'!$C$3:$L$79,10,FALSE)</f>
        <v>0</v>
      </c>
      <c r="G1536" s="158">
        <f t="shared" ref="G1536" si="485">IF(E1536&lt;=30,(0.42*E1536+3.55)*F1536,((0.42*30+3.55)+0.35*(E1536-30))*F1536)</f>
        <v>0</v>
      </c>
      <c r="H1536" s="465"/>
      <c r="I1536" s="465"/>
      <c r="J1536" s="407">
        <f t="shared" si="477"/>
        <v>0</v>
      </c>
      <c r="K1536" s="408"/>
      <c r="L1536" s="152">
        <v>0</v>
      </c>
      <c r="M1536" s="213"/>
      <c r="N1536" s="402">
        <f t="shared" si="457"/>
        <v>0</v>
      </c>
      <c r="O1536" s="402">
        <f t="shared" si="458"/>
        <v>0</v>
      </c>
      <c r="P1536" s="403"/>
      <c r="Q1536" s="464"/>
      <c r="R1536" s="464"/>
      <c r="S1536" s="402">
        <f t="shared" si="459"/>
        <v>0</v>
      </c>
      <c r="T1536" s="404">
        <f t="shared" si="483"/>
        <v>0</v>
      </c>
      <c r="U1536" s="403"/>
      <c r="V1536" s="160" t="str">
        <f>IF(T1531&gt;0,"xx",IF(O1531&gt;0,"xy",""))</f>
        <v/>
      </c>
      <c r="W1536" s="43" t="str">
        <f t="shared" si="474"/>
        <v/>
      </c>
      <c r="X1536" s="43" t="str">
        <f t="shared" si="484"/>
        <v/>
      </c>
      <c r="Y1536" s="43" t="str">
        <f t="shared" si="479"/>
        <v/>
      </c>
    </row>
    <row r="1537" spans="1:25" hidden="1">
      <c r="A1537" s="155" t="s">
        <v>45</v>
      </c>
      <c r="B1537" s="156" t="s">
        <v>242</v>
      </c>
      <c r="C1537" s="411" t="s">
        <v>529</v>
      </c>
      <c r="D1537" s="351"/>
      <c r="E1537" s="405"/>
      <c r="F1537" s="406"/>
      <c r="G1537" s="158">
        <f>SUM(G1538:G1542)</f>
        <v>282.33364417500002</v>
      </c>
      <c r="H1537" s="465">
        <f>VLOOKUP(C1537,'ENSAIOS DE ORÇAMENTO'!$C$3:$L$79,8,FALSE)</f>
        <v>2274.5432137333337</v>
      </c>
      <c r="I1537" s="465">
        <f>IF(ISBLANK(H1537),"",SUM(G1537:H1537))*0.93</f>
        <v>2377.8954778547504</v>
      </c>
      <c r="J1537" s="407">
        <f t="shared" si="477"/>
        <v>3015.17</v>
      </c>
      <c r="K1537" s="408" t="s">
        <v>23</v>
      </c>
      <c r="L1537" s="152">
        <v>0</v>
      </c>
      <c r="M1537" s="152"/>
      <c r="N1537" s="402">
        <f t="shared" si="457"/>
        <v>0</v>
      </c>
      <c r="O1537" s="402">
        <f t="shared" si="458"/>
        <v>0</v>
      </c>
      <c r="P1537" s="403"/>
      <c r="Q1537" s="152">
        <f t="shared" si="466"/>
        <v>0</v>
      </c>
      <c r="R1537" s="152">
        <f t="shared" si="466"/>
        <v>0</v>
      </c>
      <c r="S1537" s="402">
        <f t="shared" si="459"/>
        <v>0</v>
      </c>
      <c r="T1537" s="404">
        <f t="shared" si="483"/>
        <v>0</v>
      </c>
      <c r="U1537" s="403"/>
      <c r="W1537" s="43" t="str">
        <f t="shared" si="474"/>
        <v/>
      </c>
      <c r="X1537" s="43" t="str">
        <f t="shared" si="484"/>
        <v/>
      </c>
      <c r="Y1537" s="43" t="str">
        <f t="shared" si="479"/>
        <v/>
      </c>
    </row>
    <row r="1538" spans="1:25" hidden="1">
      <c r="A1538" s="155" t="s">
        <v>183</v>
      </c>
      <c r="B1538" s="156"/>
      <c r="C1538" s="411" t="s">
        <v>251</v>
      </c>
      <c r="D1538" s="351"/>
      <c r="E1538" s="405">
        <v>500</v>
      </c>
      <c r="F1538" s="406">
        <f>VLOOKUP(C1537,'ENSAIOS DE ORÇAMENTO'!$C$3:$L$79,4,FALSE)</f>
        <v>0.56628220000000007</v>
      </c>
      <c r="G1538" s="158">
        <f>IF(E1538&lt;=30,(0.42*E1538+3.55)*F1538,((0.42*30+3.55)+0.35*(E1538-30))*F1538)</f>
        <v>102.29887943000001</v>
      </c>
      <c r="H1538" s="465"/>
      <c r="I1538" s="465"/>
      <c r="J1538" s="407">
        <f t="shared" si="477"/>
        <v>0</v>
      </c>
      <c r="K1538" s="408"/>
      <c r="L1538" s="152">
        <v>0</v>
      </c>
      <c r="M1538" s="213"/>
      <c r="N1538" s="402">
        <f t="shared" si="457"/>
        <v>0</v>
      </c>
      <c r="O1538" s="402">
        <f t="shared" si="458"/>
        <v>0</v>
      </c>
      <c r="P1538" s="403"/>
      <c r="Q1538" s="464"/>
      <c r="R1538" s="464"/>
      <c r="S1538" s="402">
        <f t="shared" si="459"/>
        <v>0</v>
      </c>
      <c r="T1538" s="404">
        <f t="shared" si="483"/>
        <v>0</v>
      </c>
      <c r="U1538" s="403"/>
      <c r="V1538" s="160" t="str">
        <f>IF(T1537&gt;0,"xx",IF(O1537&gt;0,"xy",""))</f>
        <v/>
      </c>
      <c r="W1538" s="43" t="str">
        <f t="shared" si="474"/>
        <v/>
      </c>
      <c r="X1538" s="43" t="str">
        <f t="shared" si="484"/>
        <v/>
      </c>
      <c r="Y1538" s="43" t="str">
        <f t="shared" si="479"/>
        <v/>
      </c>
    </row>
    <row r="1539" spans="1:25" hidden="1">
      <c r="A1539" s="155" t="s">
        <v>183</v>
      </c>
      <c r="B1539" s="156"/>
      <c r="C1539" s="411" t="s">
        <v>314</v>
      </c>
      <c r="D1539" s="351"/>
      <c r="E1539" s="405">
        <v>180</v>
      </c>
      <c r="F1539" s="406">
        <f>VLOOKUP(C1537,'ENSAIOS DE ORÇAMENTO'!$C$3:$L$79,5,FALSE)</f>
        <v>1.6356421400000001</v>
      </c>
      <c r="G1539" s="158">
        <f t="shared" ref="G1539:G1541" si="486">IF(E1539&lt;=30,(0.6*E1539+1.25)*F1539,((0.6*30+1.25)+0.5*(E1539-30))*F1539)</f>
        <v>154.159271695</v>
      </c>
      <c r="H1539" s="465"/>
      <c r="I1539" s="465"/>
      <c r="J1539" s="407">
        <f t="shared" si="477"/>
        <v>0</v>
      </c>
      <c r="K1539" s="408"/>
      <c r="L1539" s="152">
        <v>0</v>
      </c>
      <c r="M1539" s="213"/>
      <c r="N1539" s="402">
        <f t="shared" si="457"/>
        <v>0</v>
      </c>
      <c r="O1539" s="402">
        <f t="shared" si="458"/>
        <v>0</v>
      </c>
      <c r="P1539" s="403"/>
      <c r="Q1539" s="464"/>
      <c r="R1539" s="464"/>
      <c r="S1539" s="402">
        <f t="shared" si="459"/>
        <v>0</v>
      </c>
      <c r="T1539" s="404">
        <f t="shared" si="483"/>
        <v>0</v>
      </c>
      <c r="U1539" s="403"/>
      <c r="V1539" s="160" t="str">
        <f>IF(T1537&gt;0,"xx",IF(O1537&gt;0,"xy",""))</f>
        <v/>
      </c>
      <c r="W1539" s="43" t="str">
        <f t="shared" si="474"/>
        <v/>
      </c>
      <c r="X1539" s="43" t="str">
        <f t="shared" si="484"/>
        <v/>
      </c>
      <c r="Y1539" s="43" t="str">
        <f t="shared" si="479"/>
        <v/>
      </c>
    </row>
    <row r="1540" spans="1:25" hidden="1">
      <c r="A1540" s="155" t="s">
        <v>183</v>
      </c>
      <c r="B1540" s="156"/>
      <c r="C1540" s="411" t="s">
        <v>323</v>
      </c>
      <c r="D1540" s="351"/>
      <c r="E1540" s="405">
        <v>20</v>
      </c>
      <c r="F1540" s="406">
        <f>VLOOKUP(C1537,'ENSAIOS DE ORÇAMENTO'!$C$3:$L$79,6,FALSE)</f>
        <v>1.9528674000000004</v>
      </c>
      <c r="G1540" s="158">
        <f t="shared" si="486"/>
        <v>25.875493050000006</v>
      </c>
      <c r="H1540" s="465"/>
      <c r="I1540" s="465"/>
      <c r="J1540" s="407">
        <f t="shared" si="477"/>
        <v>0</v>
      </c>
      <c r="K1540" s="408"/>
      <c r="L1540" s="152">
        <v>0</v>
      </c>
      <c r="M1540" s="213"/>
      <c r="N1540" s="402">
        <f t="shared" si="457"/>
        <v>0</v>
      </c>
      <c r="O1540" s="402">
        <f t="shared" si="458"/>
        <v>0</v>
      </c>
      <c r="P1540" s="403"/>
      <c r="Q1540" s="464"/>
      <c r="R1540" s="464"/>
      <c r="S1540" s="402">
        <f t="shared" si="459"/>
        <v>0</v>
      </c>
      <c r="T1540" s="404">
        <f t="shared" si="483"/>
        <v>0</v>
      </c>
      <c r="U1540" s="403"/>
      <c r="V1540" s="160" t="str">
        <f>IF(T1537&gt;0,"xx",IF(O1537&gt;0,"xy",""))</f>
        <v/>
      </c>
      <c r="W1540" s="43" t="str">
        <f t="shared" si="474"/>
        <v/>
      </c>
      <c r="X1540" s="43" t="str">
        <f t="shared" si="484"/>
        <v/>
      </c>
      <c r="Y1540" s="43" t="str">
        <f t="shared" si="479"/>
        <v/>
      </c>
    </row>
    <row r="1541" spans="1:25" hidden="1">
      <c r="A1541" s="155" t="s">
        <v>183</v>
      </c>
      <c r="B1541" s="156"/>
      <c r="C1541" s="411" t="s">
        <v>511</v>
      </c>
      <c r="D1541" s="351"/>
      <c r="E1541" s="405">
        <v>30</v>
      </c>
      <c r="F1541" s="406">
        <f>VLOOKUP(C1537,'ENSAIOS DE ORÇAMENTO'!$C$3:$L$79,3,FALSE)</f>
        <v>0</v>
      </c>
      <c r="G1541" s="158">
        <f t="shared" si="486"/>
        <v>0</v>
      </c>
      <c r="H1541" s="465"/>
      <c r="I1541" s="465"/>
      <c r="J1541" s="407">
        <f t="shared" si="477"/>
        <v>0</v>
      </c>
      <c r="K1541" s="408"/>
      <c r="L1541" s="152">
        <v>0</v>
      </c>
      <c r="M1541" s="213"/>
      <c r="N1541" s="402">
        <f t="shared" si="457"/>
        <v>0</v>
      </c>
      <c r="O1541" s="402">
        <f t="shared" si="458"/>
        <v>0</v>
      </c>
      <c r="P1541" s="403"/>
      <c r="Q1541" s="464"/>
      <c r="R1541" s="464"/>
      <c r="S1541" s="402">
        <f t="shared" si="459"/>
        <v>0</v>
      </c>
      <c r="T1541" s="404">
        <f t="shared" si="483"/>
        <v>0</v>
      </c>
      <c r="U1541" s="403"/>
      <c r="V1541" s="160" t="str">
        <f>IF(T1537&gt;0,"xx",IF(O1537&gt;0,"xy",""))</f>
        <v/>
      </c>
      <c r="W1541" s="43" t="str">
        <f t="shared" si="474"/>
        <v/>
      </c>
      <c r="X1541" s="43" t="str">
        <f t="shared" si="484"/>
        <v/>
      </c>
      <c r="Y1541" s="43" t="str">
        <f t="shared" si="479"/>
        <v/>
      </c>
    </row>
    <row r="1542" spans="1:25" hidden="1">
      <c r="A1542" s="155" t="s">
        <v>183</v>
      </c>
      <c r="B1542" s="156"/>
      <c r="C1542" s="411" t="s">
        <v>512</v>
      </c>
      <c r="D1542" s="351"/>
      <c r="E1542" s="405">
        <v>500</v>
      </c>
      <c r="F1542" s="406">
        <f>VLOOKUP(C1537,'ENSAIOS DE ORÇAMENTO'!$C$3:$L$79,10,FALSE)</f>
        <v>0</v>
      </c>
      <c r="G1542" s="158">
        <f t="shared" ref="G1542" si="487">IF(E1542&lt;=30,(0.42*E1542+3.55)*F1542,((0.42*30+3.55)+0.35*(E1542-30))*F1542)</f>
        <v>0</v>
      </c>
      <c r="H1542" s="465"/>
      <c r="I1542" s="465"/>
      <c r="J1542" s="407">
        <f t="shared" si="477"/>
        <v>0</v>
      </c>
      <c r="K1542" s="408"/>
      <c r="L1542" s="152">
        <v>0</v>
      </c>
      <c r="M1542" s="213"/>
      <c r="N1542" s="402">
        <f t="shared" ref="N1542:N1605" si="488">IF(ISBLANK(L1542),0,ROUND(J1542*L1542,2))</f>
        <v>0</v>
      </c>
      <c r="O1542" s="402">
        <f t="shared" ref="O1542:O1605" si="489">IF(ISBLANK(M1542),0,ROUND(L1542*M1542,2))</f>
        <v>0</v>
      </c>
      <c r="P1542" s="403"/>
      <c r="Q1542" s="464"/>
      <c r="R1542" s="464"/>
      <c r="S1542" s="402">
        <f t="shared" ref="S1542:S1605" si="490">IF(ISBLANK(Q1542),0,ROUND(J1542*Q1542,2))</f>
        <v>0</v>
      </c>
      <c r="T1542" s="404">
        <f t="shared" si="483"/>
        <v>0</v>
      </c>
      <c r="U1542" s="403"/>
      <c r="V1542" s="160" t="str">
        <f>IF(T1537&gt;0,"xx",IF(O1537&gt;0,"xy",""))</f>
        <v/>
      </c>
      <c r="W1542" s="43" t="str">
        <f t="shared" si="474"/>
        <v/>
      </c>
      <c r="X1542" s="43" t="str">
        <f t="shared" si="484"/>
        <v/>
      </c>
      <c r="Y1542" s="43" t="str">
        <f t="shared" si="479"/>
        <v/>
      </c>
    </row>
    <row r="1543" spans="1:25" hidden="1">
      <c r="A1543" s="155" t="s">
        <v>46</v>
      </c>
      <c r="B1543" s="156" t="s">
        <v>242</v>
      </c>
      <c r="C1543" s="411" t="s">
        <v>530</v>
      </c>
      <c r="D1543" s="351"/>
      <c r="E1543" s="405"/>
      <c r="F1543" s="406"/>
      <c r="G1543" s="158">
        <f>SUM(G1544:G1548)</f>
        <v>390.5585628</v>
      </c>
      <c r="H1543" s="465">
        <f>VLOOKUP(C1543,'ENSAIOS DE ORÇAMENTO'!$C$3:$L$79,8,FALSE)</f>
        <v>3136.1582143999999</v>
      </c>
      <c r="I1543" s="465">
        <f>IF(ISBLANK(H1543),"",SUM(G1543:H1543))*0.93</f>
        <v>3279.8466027959998</v>
      </c>
      <c r="J1543" s="407">
        <f t="shared" si="477"/>
        <v>4158.8500000000004</v>
      </c>
      <c r="K1543" s="408" t="s">
        <v>23</v>
      </c>
      <c r="L1543" s="152">
        <v>0</v>
      </c>
      <c r="M1543" s="152"/>
      <c r="N1543" s="402">
        <f t="shared" si="488"/>
        <v>0</v>
      </c>
      <c r="O1543" s="402">
        <f t="shared" si="489"/>
        <v>0</v>
      </c>
      <c r="P1543" s="403"/>
      <c r="Q1543" s="152">
        <f t="shared" si="466"/>
        <v>0</v>
      </c>
      <c r="R1543" s="152">
        <f t="shared" si="466"/>
        <v>0</v>
      </c>
      <c r="S1543" s="402">
        <f t="shared" si="490"/>
        <v>0</v>
      </c>
      <c r="T1543" s="404">
        <f t="shared" si="483"/>
        <v>0</v>
      </c>
      <c r="U1543" s="403"/>
      <c r="W1543" s="43" t="str">
        <f t="shared" si="474"/>
        <v/>
      </c>
      <c r="X1543" s="43" t="str">
        <f t="shared" si="484"/>
        <v/>
      </c>
      <c r="Y1543" s="43" t="str">
        <f t="shared" si="479"/>
        <v/>
      </c>
    </row>
    <row r="1544" spans="1:25" hidden="1">
      <c r="A1544" s="155" t="s">
        <v>183</v>
      </c>
      <c r="B1544" s="156"/>
      <c r="C1544" s="411" t="s">
        <v>251</v>
      </c>
      <c r="D1544" s="351"/>
      <c r="E1544" s="405">
        <v>500</v>
      </c>
      <c r="F1544" s="406">
        <f>VLOOKUP(C1543,'ENSAIOS DE ORÇAMENTO'!$C$3:$L$79,4,FALSE)</f>
        <v>0.78249919999999995</v>
      </c>
      <c r="G1544" s="158">
        <f>IF(E1544&lt;=30,(0.42*E1544+3.55)*F1544,((0.42*30+3.55)+0.35*(E1544-30))*F1544)</f>
        <v>141.35848048</v>
      </c>
      <c r="H1544" s="465"/>
      <c r="I1544" s="465"/>
      <c r="J1544" s="407">
        <f t="shared" si="477"/>
        <v>0</v>
      </c>
      <c r="K1544" s="408"/>
      <c r="L1544" s="152">
        <v>0</v>
      </c>
      <c r="M1544" s="213"/>
      <c r="N1544" s="402">
        <f t="shared" si="488"/>
        <v>0</v>
      </c>
      <c r="O1544" s="402">
        <f t="shared" si="489"/>
        <v>0</v>
      </c>
      <c r="P1544" s="403"/>
      <c r="Q1544" s="464"/>
      <c r="R1544" s="464"/>
      <c r="S1544" s="402">
        <f t="shared" si="490"/>
        <v>0</v>
      </c>
      <c r="T1544" s="404">
        <f t="shared" si="483"/>
        <v>0</v>
      </c>
      <c r="U1544" s="403"/>
      <c r="V1544" s="160" t="str">
        <f>IF(T1543&gt;0,"xx",IF(O1543&gt;0,"xy",""))</f>
        <v/>
      </c>
      <c r="W1544" s="43" t="str">
        <f t="shared" si="474"/>
        <v/>
      </c>
      <c r="X1544" s="43" t="str">
        <f t="shared" si="484"/>
        <v/>
      </c>
      <c r="Y1544" s="43" t="str">
        <f t="shared" si="479"/>
        <v/>
      </c>
    </row>
    <row r="1545" spans="1:25" hidden="1">
      <c r="A1545" s="155" t="s">
        <v>183</v>
      </c>
      <c r="B1545" s="156"/>
      <c r="C1545" s="411" t="s">
        <v>314</v>
      </c>
      <c r="D1545" s="351"/>
      <c r="E1545" s="405">
        <v>180</v>
      </c>
      <c r="F1545" s="406">
        <f>VLOOKUP(C1543,'ENSAIOS DE ORÇAMENTO'!$C$3:$L$79,5,FALSE)</f>
        <v>2.26417504</v>
      </c>
      <c r="G1545" s="158">
        <f t="shared" ref="G1545:G1547" si="491">IF(E1545&lt;=30,(0.6*E1545+1.25)*F1545,((0.6*30+1.25)+0.5*(E1545-30))*F1545)</f>
        <v>213.39849752000001</v>
      </c>
      <c r="H1545" s="465"/>
      <c r="I1545" s="465"/>
      <c r="J1545" s="407">
        <f t="shared" si="477"/>
        <v>0</v>
      </c>
      <c r="K1545" s="408"/>
      <c r="L1545" s="152">
        <v>0</v>
      </c>
      <c r="M1545" s="213"/>
      <c r="N1545" s="402">
        <f t="shared" si="488"/>
        <v>0</v>
      </c>
      <c r="O1545" s="402">
        <f t="shared" si="489"/>
        <v>0</v>
      </c>
      <c r="P1545" s="403"/>
      <c r="Q1545" s="464"/>
      <c r="R1545" s="464"/>
      <c r="S1545" s="402">
        <f t="shared" si="490"/>
        <v>0</v>
      </c>
      <c r="T1545" s="404">
        <f t="shared" si="483"/>
        <v>0</v>
      </c>
      <c r="U1545" s="403"/>
      <c r="V1545" s="160" t="str">
        <f>IF(T1543&gt;0,"xx",IF(O1543&gt;0,"xy",""))</f>
        <v/>
      </c>
      <c r="W1545" s="43" t="str">
        <f t="shared" si="474"/>
        <v/>
      </c>
      <c r="X1545" s="43" t="str">
        <f t="shared" si="484"/>
        <v/>
      </c>
      <c r="Y1545" s="43" t="str">
        <f t="shared" si="479"/>
        <v/>
      </c>
    </row>
    <row r="1546" spans="1:25" hidden="1">
      <c r="A1546" s="155" t="s">
        <v>183</v>
      </c>
      <c r="B1546" s="156"/>
      <c r="C1546" s="411" t="s">
        <v>323</v>
      </c>
      <c r="D1546" s="351"/>
      <c r="E1546" s="405">
        <v>20</v>
      </c>
      <c r="F1546" s="406">
        <f>VLOOKUP(C1543,'ENSAIOS DE ORÇAMENTO'!$C$3:$L$79,6,FALSE)</f>
        <v>2.7020064000000001</v>
      </c>
      <c r="G1546" s="158">
        <f t="shared" si="491"/>
        <v>35.801584800000001</v>
      </c>
      <c r="H1546" s="465"/>
      <c r="I1546" s="465"/>
      <c r="J1546" s="407">
        <f t="shared" si="477"/>
        <v>0</v>
      </c>
      <c r="K1546" s="408"/>
      <c r="L1546" s="152">
        <v>0</v>
      </c>
      <c r="M1546" s="213"/>
      <c r="N1546" s="402">
        <f t="shared" si="488"/>
        <v>0</v>
      </c>
      <c r="O1546" s="402">
        <f t="shared" si="489"/>
        <v>0</v>
      </c>
      <c r="P1546" s="403"/>
      <c r="Q1546" s="464"/>
      <c r="R1546" s="464"/>
      <c r="S1546" s="402">
        <f t="shared" si="490"/>
        <v>0</v>
      </c>
      <c r="T1546" s="404">
        <f t="shared" si="483"/>
        <v>0</v>
      </c>
      <c r="U1546" s="403"/>
      <c r="V1546" s="160" t="str">
        <f>IF(T1543&gt;0,"xx",IF(O1543&gt;0,"xy",""))</f>
        <v/>
      </c>
      <c r="W1546" s="43" t="str">
        <f t="shared" si="474"/>
        <v/>
      </c>
      <c r="X1546" s="43" t="str">
        <f t="shared" si="484"/>
        <v/>
      </c>
      <c r="Y1546" s="43" t="str">
        <f t="shared" si="479"/>
        <v/>
      </c>
    </row>
    <row r="1547" spans="1:25" hidden="1">
      <c r="A1547" s="155" t="s">
        <v>183</v>
      </c>
      <c r="B1547" s="156"/>
      <c r="C1547" s="411" t="s">
        <v>511</v>
      </c>
      <c r="D1547" s="351"/>
      <c r="E1547" s="405">
        <v>30</v>
      </c>
      <c r="F1547" s="406">
        <f>VLOOKUP(C1543,'ENSAIOS DE ORÇAMENTO'!$C$3:$L$79,3,FALSE)</f>
        <v>0</v>
      </c>
      <c r="G1547" s="158">
        <f t="shared" si="491"/>
        <v>0</v>
      </c>
      <c r="H1547" s="465"/>
      <c r="I1547" s="465"/>
      <c r="J1547" s="407">
        <f t="shared" si="477"/>
        <v>0</v>
      </c>
      <c r="K1547" s="408"/>
      <c r="L1547" s="152">
        <v>0</v>
      </c>
      <c r="M1547" s="213"/>
      <c r="N1547" s="402">
        <f t="shared" si="488"/>
        <v>0</v>
      </c>
      <c r="O1547" s="402">
        <f t="shared" si="489"/>
        <v>0</v>
      </c>
      <c r="P1547" s="403"/>
      <c r="Q1547" s="464"/>
      <c r="R1547" s="464"/>
      <c r="S1547" s="402">
        <f t="shared" si="490"/>
        <v>0</v>
      </c>
      <c r="T1547" s="404">
        <f t="shared" si="483"/>
        <v>0</v>
      </c>
      <c r="U1547" s="403"/>
      <c r="V1547" s="160" t="str">
        <f>IF(T1543&gt;0,"xx",IF(O1543&gt;0,"xy",""))</f>
        <v/>
      </c>
      <c r="W1547" s="43" t="str">
        <f t="shared" si="474"/>
        <v/>
      </c>
      <c r="X1547" s="43" t="str">
        <f t="shared" si="484"/>
        <v/>
      </c>
      <c r="Y1547" s="43" t="str">
        <f t="shared" si="479"/>
        <v/>
      </c>
    </row>
    <row r="1548" spans="1:25" hidden="1">
      <c r="A1548" s="155" t="s">
        <v>183</v>
      </c>
      <c r="B1548" s="156"/>
      <c r="C1548" s="411" t="s">
        <v>512</v>
      </c>
      <c r="D1548" s="351"/>
      <c r="E1548" s="405">
        <v>500</v>
      </c>
      <c r="F1548" s="406">
        <f>VLOOKUP(C1543,'ENSAIOS DE ORÇAMENTO'!$C$3:$L$79,10,FALSE)</f>
        <v>0</v>
      </c>
      <c r="G1548" s="158">
        <f t="shared" ref="G1548" si="492">IF(E1548&lt;=30,(0.42*E1548+3.55)*F1548,((0.42*30+3.55)+0.35*(E1548-30))*F1548)</f>
        <v>0</v>
      </c>
      <c r="H1548" s="465"/>
      <c r="I1548" s="465"/>
      <c r="J1548" s="407">
        <f t="shared" si="477"/>
        <v>0</v>
      </c>
      <c r="K1548" s="408"/>
      <c r="L1548" s="152">
        <v>0</v>
      </c>
      <c r="M1548" s="213"/>
      <c r="N1548" s="402">
        <f t="shared" si="488"/>
        <v>0</v>
      </c>
      <c r="O1548" s="402">
        <f t="shared" si="489"/>
        <v>0</v>
      </c>
      <c r="P1548" s="403"/>
      <c r="Q1548" s="464"/>
      <c r="R1548" s="464"/>
      <c r="S1548" s="402">
        <f t="shared" si="490"/>
        <v>0</v>
      </c>
      <c r="T1548" s="404">
        <f t="shared" si="483"/>
        <v>0</v>
      </c>
      <c r="U1548" s="403"/>
      <c r="V1548" s="160" t="str">
        <f>IF(T1543&gt;0,"xx",IF(O1543&gt;0,"xy",""))</f>
        <v/>
      </c>
      <c r="W1548" s="43" t="str">
        <f t="shared" si="474"/>
        <v/>
      </c>
      <c r="X1548" s="43" t="str">
        <f t="shared" si="484"/>
        <v/>
      </c>
      <c r="Y1548" s="43" t="str">
        <f t="shared" si="479"/>
        <v/>
      </c>
    </row>
    <row r="1549" spans="1:25" hidden="1">
      <c r="A1549" s="155" t="s">
        <v>47</v>
      </c>
      <c r="B1549" s="156" t="s">
        <v>242</v>
      </c>
      <c r="C1549" s="411" t="s">
        <v>531</v>
      </c>
      <c r="D1549" s="351"/>
      <c r="E1549" s="405"/>
      <c r="F1549" s="406"/>
      <c r="G1549" s="158">
        <f>SUM(G1550:G1554)</f>
        <v>605.69746014374994</v>
      </c>
      <c r="H1549" s="465">
        <f>VLOOKUP(C1549,'ENSAIOS DE ORÇAMENTO'!$C$3:$L$79,8,FALSE)</f>
        <v>4627.1017038999998</v>
      </c>
      <c r="I1549" s="465">
        <f>IF(ISBLANK(H1549),"",SUM(G1549:H1549))*0.93</f>
        <v>4866.5032225606874</v>
      </c>
      <c r="J1549" s="407">
        <f t="shared" si="477"/>
        <v>6170.73</v>
      </c>
      <c r="K1549" s="408" t="s">
        <v>23</v>
      </c>
      <c r="L1549" s="152">
        <v>0</v>
      </c>
      <c r="M1549" s="152"/>
      <c r="N1549" s="402">
        <f t="shared" si="488"/>
        <v>0</v>
      </c>
      <c r="O1549" s="402">
        <f t="shared" si="489"/>
        <v>0</v>
      </c>
      <c r="P1549" s="403"/>
      <c r="Q1549" s="152">
        <f t="shared" si="466"/>
        <v>0</v>
      </c>
      <c r="R1549" s="152">
        <f t="shared" si="466"/>
        <v>0</v>
      </c>
      <c r="S1549" s="402">
        <f t="shared" si="490"/>
        <v>0</v>
      </c>
      <c r="T1549" s="404">
        <f t="shared" si="483"/>
        <v>0</v>
      </c>
      <c r="U1549" s="403"/>
      <c r="W1549" s="43" t="str">
        <f t="shared" si="474"/>
        <v/>
      </c>
      <c r="X1549" s="43" t="str">
        <f t="shared" si="484"/>
        <v/>
      </c>
      <c r="Y1549" s="43" t="str">
        <f t="shared" si="479"/>
        <v/>
      </c>
    </row>
    <row r="1550" spans="1:25" hidden="1">
      <c r="A1550" s="155" t="s">
        <v>183</v>
      </c>
      <c r="B1550" s="156"/>
      <c r="C1550" s="411" t="s">
        <v>251</v>
      </c>
      <c r="D1550" s="351"/>
      <c r="E1550" s="405">
        <v>500</v>
      </c>
      <c r="F1550" s="406">
        <f>VLOOKUP(C1549,'ENSAIOS DE ORÇAMENTO'!$C$3:$L$79,4,FALSE)</f>
        <v>1.2144229499999999</v>
      </c>
      <c r="G1550" s="158">
        <f>IF(E1550&lt;=30,(0.42*E1550+3.55)*F1550,((0.42*30+3.55)+0.35*(E1550-30))*F1550)</f>
        <v>219.38550591749998</v>
      </c>
      <c r="H1550" s="465"/>
      <c r="I1550" s="465"/>
      <c r="J1550" s="407">
        <f t="shared" si="477"/>
        <v>0</v>
      </c>
      <c r="K1550" s="408"/>
      <c r="L1550" s="152">
        <v>0</v>
      </c>
      <c r="M1550" s="213"/>
      <c r="N1550" s="402">
        <f t="shared" si="488"/>
        <v>0</v>
      </c>
      <c r="O1550" s="402">
        <f t="shared" si="489"/>
        <v>0</v>
      </c>
      <c r="P1550" s="403"/>
      <c r="Q1550" s="464"/>
      <c r="R1550" s="464"/>
      <c r="S1550" s="402">
        <f t="shared" si="490"/>
        <v>0</v>
      </c>
      <c r="T1550" s="404">
        <f t="shared" si="483"/>
        <v>0</v>
      </c>
      <c r="U1550" s="403"/>
      <c r="V1550" s="160" t="str">
        <f>IF(T1549&gt;0,"xx",IF(O1549&gt;0,"xy",""))</f>
        <v/>
      </c>
      <c r="W1550" s="43" t="str">
        <f t="shared" si="474"/>
        <v/>
      </c>
      <c r="X1550" s="43" t="str">
        <f t="shared" si="484"/>
        <v/>
      </c>
      <c r="Y1550" s="43" t="str">
        <f t="shared" si="479"/>
        <v/>
      </c>
    </row>
    <row r="1551" spans="1:25" hidden="1">
      <c r="A1551" s="155" t="s">
        <v>183</v>
      </c>
      <c r="B1551" s="156"/>
      <c r="C1551" s="411" t="s">
        <v>314</v>
      </c>
      <c r="D1551" s="351"/>
      <c r="E1551" s="405">
        <v>180</v>
      </c>
      <c r="F1551" s="406">
        <f>VLOOKUP(C1549,'ENSAIOS DE ORÇAMENTO'!$C$3:$L$79,5,FALSE)</f>
        <v>3.5097804149999998</v>
      </c>
      <c r="G1551" s="158">
        <f t="shared" ref="G1551:G1553" si="493">IF(E1551&lt;=30,(0.6*E1551+1.25)*F1551,((0.6*30+1.25)+0.5*(E1551-30))*F1551)</f>
        <v>330.79680411375</v>
      </c>
      <c r="H1551" s="465"/>
      <c r="I1551" s="465"/>
      <c r="J1551" s="407">
        <f t="shared" si="477"/>
        <v>0</v>
      </c>
      <c r="K1551" s="408"/>
      <c r="L1551" s="152">
        <v>0</v>
      </c>
      <c r="M1551" s="213"/>
      <c r="N1551" s="402">
        <f t="shared" si="488"/>
        <v>0</v>
      </c>
      <c r="O1551" s="402">
        <f t="shared" si="489"/>
        <v>0</v>
      </c>
      <c r="P1551" s="403"/>
      <c r="Q1551" s="464"/>
      <c r="R1551" s="464"/>
      <c r="S1551" s="402">
        <f t="shared" si="490"/>
        <v>0</v>
      </c>
      <c r="T1551" s="404">
        <f t="shared" si="483"/>
        <v>0</v>
      </c>
      <c r="U1551" s="403"/>
      <c r="V1551" s="160" t="str">
        <f>IF(T1549&gt;0,"xx",IF(O1549&gt;0,"xy",""))</f>
        <v/>
      </c>
      <c r="W1551" s="43" t="str">
        <f t="shared" si="474"/>
        <v/>
      </c>
      <c r="X1551" s="43" t="str">
        <f t="shared" si="484"/>
        <v/>
      </c>
      <c r="Y1551" s="43" t="str">
        <f t="shared" si="479"/>
        <v/>
      </c>
    </row>
    <row r="1552" spans="1:25" hidden="1">
      <c r="A1552" s="155" t="s">
        <v>183</v>
      </c>
      <c r="B1552" s="156"/>
      <c r="C1552" s="411" t="s">
        <v>323</v>
      </c>
      <c r="D1552" s="351"/>
      <c r="E1552" s="405">
        <v>20</v>
      </c>
      <c r="F1552" s="406">
        <f>VLOOKUP(C1549,'ENSAIOS DE ORÇAMENTO'!$C$3:$L$79,6,FALSE)</f>
        <v>4.18982265</v>
      </c>
      <c r="G1552" s="158">
        <f t="shared" si="493"/>
        <v>55.515150112500002</v>
      </c>
      <c r="H1552" s="465"/>
      <c r="I1552" s="465"/>
      <c r="J1552" s="407">
        <f t="shared" si="477"/>
        <v>0</v>
      </c>
      <c r="K1552" s="408"/>
      <c r="L1552" s="152">
        <v>0</v>
      </c>
      <c r="M1552" s="213"/>
      <c r="N1552" s="402">
        <f t="shared" si="488"/>
        <v>0</v>
      </c>
      <c r="O1552" s="402">
        <f t="shared" si="489"/>
        <v>0</v>
      </c>
      <c r="P1552" s="403"/>
      <c r="Q1552" s="464"/>
      <c r="R1552" s="464"/>
      <c r="S1552" s="402">
        <f t="shared" si="490"/>
        <v>0</v>
      </c>
      <c r="T1552" s="404">
        <f t="shared" si="483"/>
        <v>0</v>
      </c>
      <c r="U1552" s="403"/>
      <c r="V1552" s="160" t="str">
        <f>IF(T1549&gt;0,"xx",IF(O1549&gt;0,"xy",""))</f>
        <v/>
      </c>
      <c r="W1552" s="43" t="str">
        <f t="shared" si="474"/>
        <v/>
      </c>
      <c r="X1552" s="43" t="str">
        <f t="shared" si="484"/>
        <v/>
      </c>
      <c r="Y1552" s="43" t="str">
        <f t="shared" si="479"/>
        <v/>
      </c>
    </row>
    <row r="1553" spans="1:25" hidden="1">
      <c r="A1553" s="155" t="s">
        <v>183</v>
      </c>
      <c r="B1553" s="156"/>
      <c r="C1553" s="411" t="s">
        <v>511</v>
      </c>
      <c r="D1553" s="351"/>
      <c r="E1553" s="405">
        <v>30</v>
      </c>
      <c r="F1553" s="406">
        <f>VLOOKUP(C1549,'ENSAIOS DE ORÇAMENTO'!$C$3:$L$79,3,FALSE)</f>
        <v>0</v>
      </c>
      <c r="G1553" s="158">
        <f t="shared" si="493"/>
        <v>0</v>
      </c>
      <c r="H1553" s="465"/>
      <c r="I1553" s="465"/>
      <c r="J1553" s="407">
        <f t="shared" si="477"/>
        <v>0</v>
      </c>
      <c r="K1553" s="408"/>
      <c r="L1553" s="152">
        <v>0</v>
      </c>
      <c r="M1553" s="213"/>
      <c r="N1553" s="402">
        <f t="shared" si="488"/>
        <v>0</v>
      </c>
      <c r="O1553" s="402">
        <f t="shared" si="489"/>
        <v>0</v>
      </c>
      <c r="P1553" s="403"/>
      <c r="Q1553" s="464"/>
      <c r="R1553" s="464"/>
      <c r="S1553" s="402">
        <f t="shared" si="490"/>
        <v>0</v>
      </c>
      <c r="T1553" s="404">
        <f t="shared" si="483"/>
        <v>0</v>
      </c>
      <c r="U1553" s="403"/>
      <c r="V1553" s="160" t="str">
        <f>IF(T1549&gt;0,"xx",IF(O1549&gt;0,"xy",""))</f>
        <v/>
      </c>
      <c r="W1553" s="43" t="str">
        <f t="shared" si="474"/>
        <v/>
      </c>
      <c r="X1553" s="43" t="str">
        <f t="shared" si="484"/>
        <v/>
      </c>
      <c r="Y1553" s="43" t="str">
        <f t="shared" si="479"/>
        <v/>
      </c>
    </row>
    <row r="1554" spans="1:25" hidden="1">
      <c r="A1554" s="155" t="s">
        <v>183</v>
      </c>
      <c r="B1554" s="156"/>
      <c r="C1554" s="411" t="s">
        <v>512</v>
      </c>
      <c r="D1554" s="351"/>
      <c r="E1554" s="405">
        <v>500</v>
      </c>
      <c r="F1554" s="406">
        <f>VLOOKUP(C1549,'ENSAIOS DE ORÇAMENTO'!$C$3:$L$79,10,FALSE)</f>
        <v>0</v>
      </c>
      <c r="G1554" s="158">
        <f t="shared" ref="G1554" si="494">IF(E1554&lt;=30,(0.42*E1554+3.55)*F1554,((0.42*30+3.55)+0.35*(E1554-30))*F1554)</f>
        <v>0</v>
      </c>
      <c r="H1554" s="465"/>
      <c r="I1554" s="465"/>
      <c r="J1554" s="407">
        <f t="shared" si="477"/>
        <v>0</v>
      </c>
      <c r="K1554" s="408"/>
      <c r="L1554" s="152">
        <v>0</v>
      </c>
      <c r="M1554" s="213"/>
      <c r="N1554" s="402">
        <f t="shared" si="488"/>
        <v>0</v>
      </c>
      <c r="O1554" s="402">
        <f t="shared" si="489"/>
        <v>0</v>
      </c>
      <c r="P1554" s="403"/>
      <c r="Q1554" s="464"/>
      <c r="R1554" s="464"/>
      <c r="S1554" s="402">
        <f t="shared" si="490"/>
        <v>0</v>
      </c>
      <c r="T1554" s="404">
        <f t="shared" si="483"/>
        <v>0</v>
      </c>
      <c r="U1554" s="403"/>
      <c r="V1554" s="160" t="str">
        <f>IF(T1549&gt;0,"xx",IF(O1549&gt;0,"xy",""))</f>
        <v/>
      </c>
      <c r="W1554" s="43" t="str">
        <f t="shared" si="474"/>
        <v/>
      </c>
      <c r="X1554" s="43" t="str">
        <f t="shared" si="484"/>
        <v/>
      </c>
      <c r="Y1554" s="43" t="str">
        <f t="shared" si="479"/>
        <v/>
      </c>
    </row>
    <row r="1555" spans="1:25" hidden="1">
      <c r="A1555" s="155" t="s">
        <v>48</v>
      </c>
      <c r="B1555" s="156" t="s">
        <v>242</v>
      </c>
      <c r="C1555" s="411" t="s">
        <v>532</v>
      </c>
      <c r="D1555" s="351"/>
      <c r="E1555" s="405"/>
      <c r="F1555" s="406"/>
      <c r="G1555" s="158">
        <f>SUM(G1556:G1560)</f>
        <v>954.61097664375006</v>
      </c>
      <c r="H1555" s="465">
        <f>VLOOKUP(C1555,'ENSAIOS DE ORÇAMENTO'!$C$3:$L$79,8,FALSE)</f>
        <v>7308.1928558999998</v>
      </c>
      <c r="I1555" s="465">
        <f>IF(ISBLANK(H1555),"",SUM(G1555:H1555))*0.88</f>
        <v>7271.2673726385001</v>
      </c>
      <c r="J1555" s="407">
        <f t="shared" si="477"/>
        <v>9219.9699999999993</v>
      </c>
      <c r="K1555" s="408" t="s">
        <v>23</v>
      </c>
      <c r="L1555" s="152">
        <v>0</v>
      </c>
      <c r="M1555" s="152"/>
      <c r="N1555" s="402">
        <f t="shared" si="488"/>
        <v>0</v>
      </c>
      <c r="O1555" s="402">
        <f t="shared" si="489"/>
        <v>0</v>
      </c>
      <c r="P1555" s="403"/>
      <c r="Q1555" s="152">
        <f t="shared" si="466"/>
        <v>0</v>
      </c>
      <c r="R1555" s="152">
        <f t="shared" si="466"/>
        <v>0</v>
      </c>
      <c r="S1555" s="402">
        <f t="shared" si="490"/>
        <v>0</v>
      </c>
      <c r="T1555" s="404">
        <f t="shared" si="483"/>
        <v>0</v>
      </c>
      <c r="U1555" s="403"/>
      <c r="W1555" s="43" t="str">
        <f t="shared" si="474"/>
        <v/>
      </c>
      <c r="X1555" s="43" t="str">
        <f t="shared" si="484"/>
        <v/>
      </c>
      <c r="Y1555" s="43" t="str">
        <f t="shared" si="479"/>
        <v/>
      </c>
    </row>
    <row r="1556" spans="1:25" hidden="1">
      <c r="A1556" s="155" t="s">
        <v>183</v>
      </c>
      <c r="B1556" s="156"/>
      <c r="C1556" s="411" t="s">
        <v>251</v>
      </c>
      <c r="D1556" s="351"/>
      <c r="E1556" s="405">
        <v>500</v>
      </c>
      <c r="F1556" s="406">
        <f>VLOOKUP(C1555,'ENSAIOS DE ORÇAMENTO'!$C$3:$L$79,4,FALSE)</f>
        <v>1.9159789500000002</v>
      </c>
      <c r="G1556" s="158">
        <f>IF(E1556&lt;=30,(0.42*E1556+3.55)*F1556,((0.42*30+3.55)+0.35*(E1556-30))*F1556)</f>
        <v>346.12159731750006</v>
      </c>
      <c r="H1556" s="465"/>
      <c r="I1556" s="465"/>
      <c r="J1556" s="407">
        <f t="shared" si="477"/>
        <v>0</v>
      </c>
      <c r="K1556" s="408"/>
      <c r="L1556" s="152">
        <v>0</v>
      </c>
      <c r="M1556" s="213"/>
      <c r="N1556" s="402">
        <f t="shared" si="488"/>
        <v>0</v>
      </c>
      <c r="O1556" s="402">
        <f t="shared" si="489"/>
        <v>0</v>
      </c>
      <c r="P1556" s="403"/>
      <c r="Q1556" s="464"/>
      <c r="R1556" s="464"/>
      <c r="S1556" s="402">
        <f t="shared" si="490"/>
        <v>0</v>
      </c>
      <c r="T1556" s="404">
        <f t="shared" si="483"/>
        <v>0</v>
      </c>
      <c r="U1556" s="403"/>
      <c r="V1556" s="160" t="str">
        <f>IF(T1555&gt;0,"xx",IF(O1555&gt;0,"xy",""))</f>
        <v/>
      </c>
      <c r="W1556" s="43" t="str">
        <f t="shared" si="474"/>
        <v/>
      </c>
      <c r="X1556" s="43" t="str">
        <f t="shared" si="484"/>
        <v/>
      </c>
      <c r="Y1556" s="43" t="str">
        <f t="shared" si="479"/>
        <v/>
      </c>
    </row>
    <row r="1557" spans="1:25" hidden="1">
      <c r="A1557" s="155" t="s">
        <v>183</v>
      </c>
      <c r="B1557" s="156"/>
      <c r="C1557" s="411" t="s">
        <v>314</v>
      </c>
      <c r="D1557" s="351"/>
      <c r="E1557" s="405">
        <v>180</v>
      </c>
      <c r="F1557" s="406">
        <f>VLOOKUP(C1555,'ENSAIOS DE ORÇAMENTO'!$C$3:$L$79,5,FALSE)</f>
        <v>5.5279776150000002</v>
      </c>
      <c r="G1557" s="158">
        <f t="shared" ref="G1557:G1559" si="495">IF(E1557&lt;=30,(0.6*E1557+1.25)*F1557,((0.6*30+1.25)+0.5*(E1557-30))*F1557)</f>
        <v>521.01189021375001</v>
      </c>
      <c r="H1557" s="465"/>
      <c r="I1557" s="465"/>
      <c r="J1557" s="407">
        <f t="shared" si="477"/>
        <v>0</v>
      </c>
      <c r="K1557" s="408"/>
      <c r="L1557" s="152">
        <v>0</v>
      </c>
      <c r="M1557" s="213"/>
      <c r="N1557" s="402">
        <f t="shared" si="488"/>
        <v>0</v>
      </c>
      <c r="O1557" s="402">
        <f t="shared" si="489"/>
        <v>0</v>
      </c>
      <c r="P1557" s="403"/>
      <c r="Q1557" s="464"/>
      <c r="R1557" s="464"/>
      <c r="S1557" s="402">
        <f t="shared" si="490"/>
        <v>0</v>
      </c>
      <c r="T1557" s="404">
        <f t="shared" si="483"/>
        <v>0</v>
      </c>
      <c r="U1557" s="403"/>
      <c r="V1557" s="160" t="str">
        <f>IF(T1555&gt;0,"xx",IF(O1555&gt;0,"xy",""))</f>
        <v/>
      </c>
      <c r="W1557" s="43" t="str">
        <f t="shared" si="474"/>
        <v/>
      </c>
      <c r="X1557" s="43" t="str">
        <f t="shared" si="484"/>
        <v/>
      </c>
      <c r="Y1557" s="43" t="str">
        <f t="shared" si="479"/>
        <v/>
      </c>
    </row>
    <row r="1558" spans="1:25" hidden="1">
      <c r="A1558" s="155" t="s">
        <v>183</v>
      </c>
      <c r="B1558" s="156"/>
      <c r="C1558" s="411" t="s">
        <v>323</v>
      </c>
      <c r="D1558" s="351"/>
      <c r="E1558" s="405">
        <v>20</v>
      </c>
      <c r="F1558" s="406">
        <f>VLOOKUP(C1555,'ENSAIOS DE ORÇAMENTO'!$C$3:$L$79,6,FALSE)</f>
        <v>6.6020746500000005</v>
      </c>
      <c r="G1558" s="158">
        <f t="shared" si="495"/>
        <v>87.47748911250001</v>
      </c>
      <c r="H1558" s="465"/>
      <c r="I1558" s="465"/>
      <c r="J1558" s="407">
        <f t="shared" si="477"/>
        <v>0</v>
      </c>
      <c r="K1558" s="408"/>
      <c r="L1558" s="152">
        <v>0</v>
      </c>
      <c r="M1558" s="213"/>
      <c r="N1558" s="402">
        <f t="shared" si="488"/>
        <v>0</v>
      </c>
      <c r="O1558" s="402">
        <f t="shared" si="489"/>
        <v>0</v>
      </c>
      <c r="P1558" s="403"/>
      <c r="Q1558" s="464"/>
      <c r="R1558" s="464"/>
      <c r="S1558" s="402">
        <f t="shared" si="490"/>
        <v>0</v>
      </c>
      <c r="T1558" s="404">
        <f t="shared" si="483"/>
        <v>0</v>
      </c>
      <c r="U1558" s="403"/>
      <c r="V1558" s="160" t="str">
        <f>IF(T1555&gt;0,"xx",IF(O1555&gt;0,"xy",""))</f>
        <v/>
      </c>
      <c r="W1558" s="43" t="str">
        <f t="shared" si="474"/>
        <v/>
      </c>
      <c r="X1558" s="43" t="str">
        <f t="shared" si="484"/>
        <v/>
      </c>
      <c r="Y1558" s="43" t="str">
        <f t="shared" si="479"/>
        <v/>
      </c>
    </row>
    <row r="1559" spans="1:25" hidden="1">
      <c r="A1559" s="155" t="s">
        <v>183</v>
      </c>
      <c r="B1559" s="156"/>
      <c r="C1559" s="411" t="s">
        <v>511</v>
      </c>
      <c r="D1559" s="351"/>
      <c r="E1559" s="405">
        <v>30</v>
      </c>
      <c r="F1559" s="406">
        <f>VLOOKUP(C1555,'ENSAIOS DE ORÇAMENTO'!$C$3:$L$79,3,FALSE)</f>
        <v>0</v>
      </c>
      <c r="G1559" s="158">
        <f t="shared" si="495"/>
        <v>0</v>
      </c>
      <c r="H1559" s="465"/>
      <c r="I1559" s="465"/>
      <c r="J1559" s="407">
        <f t="shared" si="477"/>
        <v>0</v>
      </c>
      <c r="K1559" s="408"/>
      <c r="L1559" s="152">
        <v>0</v>
      </c>
      <c r="M1559" s="213"/>
      <c r="N1559" s="402">
        <f t="shared" si="488"/>
        <v>0</v>
      </c>
      <c r="O1559" s="402">
        <f t="shared" si="489"/>
        <v>0</v>
      </c>
      <c r="P1559" s="403"/>
      <c r="Q1559" s="464"/>
      <c r="R1559" s="464"/>
      <c r="S1559" s="402">
        <f t="shared" si="490"/>
        <v>0</v>
      </c>
      <c r="T1559" s="404">
        <f t="shared" si="483"/>
        <v>0</v>
      </c>
      <c r="U1559" s="403"/>
      <c r="V1559" s="160" t="str">
        <f>IF(T1555&gt;0,"xx",IF(O1555&gt;0,"xy",""))</f>
        <v/>
      </c>
      <c r="W1559" s="43" t="str">
        <f t="shared" si="474"/>
        <v/>
      </c>
      <c r="X1559" s="43" t="str">
        <f t="shared" si="484"/>
        <v/>
      </c>
      <c r="Y1559" s="43" t="str">
        <f t="shared" si="479"/>
        <v/>
      </c>
    </row>
    <row r="1560" spans="1:25" hidden="1">
      <c r="A1560" s="155" t="s">
        <v>183</v>
      </c>
      <c r="B1560" s="156"/>
      <c r="C1560" s="411" t="s">
        <v>512</v>
      </c>
      <c r="D1560" s="351"/>
      <c r="E1560" s="405">
        <v>500</v>
      </c>
      <c r="F1560" s="406">
        <f>VLOOKUP(C1555,'ENSAIOS DE ORÇAMENTO'!$C$3:$L$79,10,FALSE)</f>
        <v>0</v>
      </c>
      <c r="G1560" s="158">
        <f t="shared" ref="G1560" si="496">IF(E1560&lt;=30,(0.42*E1560+3.55)*F1560,((0.42*30+3.55)+0.35*(E1560-30))*F1560)</f>
        <v>0</v>
      </c>
      <c r="H1560" s="465"/>
      <c r="I1560" s="465"/>
      <c r="J1560" s="407">
        <f t="shared" si="477"/>
        <v>0</v>
      </c>
      <c r="K1560" s="408"/>
      <c r="L1560" s="152">
        <v>0</v>
      </c>
      <c r="M1560" s="213"/>
      <c r="N1560" s="402">
        <f t="shared" si="488"/>
        <v>0</v>
      </c>
      <c r="O1560" s="402">
        <f t="shared" si="489"/>
        <v>0</v>
      </c>
      <c r="P1560" s="403"/>
      <c r="Q1560" s="464"/>
      <c r="R1560" s="464"/>
      <c r="S1560" s="402">
        <f t="shared" si="490"/>
        <v>0</v>
      </c>
      <c r="T1560" s="404">
        <f t="shared" si="483"/>
        <v>0</v>
      </c>
      <c r="U1560" s="403"/>
      <c r="V1560" s="160" t="str">
        <f>IF(T1555&gt;0,"xx",IF(O1555&gt;0,"xy",""))</f>
        <v/>
      </c>
      <c r="W1560" s="43" t="str">
        <f t="shared" si="474"/>
        <v/>
      </c>
      <c r="X1560" s="43" t="str">
        <f t="shared" si="484"/>
        <v/>
      </c>
      <c r="Y1560" s="43" t="str">
        <f t="shared" si="479"/>
        <v/>
      </c>
    </row>
    <row r="1561" spans="1:25">
      <c r="A1561" s="155" t="s">
        <v>142</v>
      </c>
      <c r="B1561" s="156" t="s">
        <v>242</v>
      </c>
      <c r="C1561" s="411" t="s">
        <v>156</v>
      </c>
      <c r="D1561" s="351"/>
      <c r="E1561" s="405"/>
      <c r="F1561" s="406"/>
      <c r="G1561" s="158">
        <f>SUM(G1562:G1566)</f>
        <v>240.359075155</v>
      </c>
      <c r="H1561" s="465">
        <f>VLOOKUP(C1561,'ENSAIOS DE ORÇAMENTO'!$C$3:$L$79,8,FALSE)</f>
        <v>1378.995494</v>
      </c>
      <c r="I1561" s="465">
        <f>IF(ISBLANK(H1561),"",SUM(G1561:H1561))*0.92</f>
        <v>1489.8062036226002</v>
      </c>
      <c r="J1561" s="407">
        <f t="shared" si="477"/>
        <v>1889.07</v>
      </c>
      <c r="K1561" s="408" t="s">
        <v>23</v>
      </c>
      <c r="L1561" s="152">
        <v>2</v>
      </c>
      <c r="M1561" s="152">
        <v>1888.39</v>
      </c>
      <c r="N1561" s="402">
        <f t="shared" si="488"/>
        <v>3778.14</v>
      </c>
      <c r="O1561" s="402">
        <f t="shared" si="489"/>
        <v>3776.78</v>
      </c>
      <c r="P1561" s="403"/>
      <c r="Q1561" s="152">
        <f t="shared" ref="Q1561:R1615" si="497">L1561</f>
        <v>2</v>
      </c>
      <c r="R1561" s="152">
        <f t="shared" si="497"/>
        <v>1888.39</v>
      </c>
      <c r="S1561" s="402">
        <f t="shared" si="490"/>
        <v>3778.14</v>
      </c>
      <c r="T1561" s="404">
        <f t="shared" si="483"/>
        <v>3776.78</v>
      </c>
      <c r="U1561" s="403"/>
      <c r="W1561" s="43" t="str">
        <f t="shared" si="474"/>
        <v>x</v>
      </c>
      <c r="X1561" s="43" t="str">
        <f t="shared" si="484"/>
        <v>x</v>
      </c>
      <c r="Y1561" s="43" t="str">
        <f t="shared" si="479"/>
        <v>x</v>
      </c>
    </row>
    <row r="1562" spans="1:25">
      <c r="A1562" s="155" t="s">
        <v>183</v>
      </c>
      <c r="B1562" s="156"/>
      <c r="C1562" s="411" t="s">
        <v>251</v>
      </c>
      <c r="D1562" s="351"/>
      <c r="E1562" s="405">
        <v>530</v>
      </c>
      <c r="F1562" s="406">
        <f>VLOOKUP(C1561,'ENSAIOS DE ORÇAMENTO'!$C$3:$L$79,4,FALSE)</f>
        <v>0.34362620000000005</v>
      </c>
      <c r="G1562" s="158">
        <f>IF(E1562&lt;=30,(0.42*E1562+3.55)*F1562,((0.42*30+3.55)+0.35*(E1562-30))*F1562)</f>
        <v>65.684148130000011</v>
      </c>
      <c r="H1562" s="465"/>
      <c r="I1562" s="465"/>
      <c r="J1562" s="407">
        <f t="shared" si="477"/>
        <v>0</v>
      </c>
      <c r="K1562" s="408"/>
      <c r="L1562" s="152"/>
      <c r="M1562" s="213"/>
      <c r="N1562" s="402">
        <f t="shared" si="488"/>
        <v>0</v>
      </c>
      <c r="O1562" s="402">
        <f t="shared" si="489"/>
        <v>0</v>
      </c>
      <c r="P1562" s="403"/>
      <c r="Q1562" s="464"/>
      <c r="R1562" s="464"/>
      <c r="S1562" s="402">
        <f t="shared" si="490"/>
        <v>0</v>
      </c>
      <c r="T1562" s="404">
        <f t="shared" si="483"/>
        <v>0</v>
      </c>
      <c r="U1562" s="403"/>
      <c r="V1562" s="160" t="str">
        <f>IF(T1561&gt;0,"xx",IF(O1561&gt;0,"xy",""))</f>
        <v>xx</v>
      </c>
      <c r="W1562" s="43" t="str">
        <f t="shared" si="474"/>
        <v>x</v>
      </c>
      <c r="X1562" s="43" t="str">
        <f t="shared" si="484"/>
        <v>x</v>
      </c>
      <c r="Y1562" s="43" t="str">
        <f t="shared" si="479"/>
        <v/>
      </c>
    </row>
    <row r="1563" spans="1:25">
      <c r="A1563" s="155" t="s">
        <v>183</v>
      </c>
      <c r="B1563" s="156"/>
      <c r="C1563" s="411" t="s">
        <v>314</v>
      </c>
      <c r="D1563" s="351"/>
      <c r="E1563" s="405">
        <v>270</v>
      </c>
      <c r="F1563" s="406">
        <f>VLOOKUP(C1561,'ENSAIOS DE ORÇAMENTO'!$C$3:$L$79,5,FALSE)</f>
        <v>1.2014845000000001</v>
      </c>
      <c r="G1563" s="158">
        <f t="shared" ref="G1563:G1565" si="498">IF(E1563&lt;=30,(0.6*E1563+1.25)*F1563,((0.6*30+1.25)+0.5*(E1563-30))*F1563)</f>
        <v>167.30671662500001</v>
      </c>
      <c r="H1563" s="465"/>
      <c r="I1563" s="465"/>
      <c r="J1563" s="407">
        <f t="shared" si="477"/>
        <v>0</v>
      </c>
      <c r="K1563" s="408"/>
      <c r="L1563" s="152">
        <v>0</v>
      </c>
      <c r="M1563" s="213"/>
      <c r="N1563" s="402">
        <f t="shared" si="488"/>
        <v>0</v>
      </c>
      <c r="O1563" s="402">
        <f t="shared" si="489"/>
        <v>0</v>
      </c>
      <c r="P1563" s="403"/>
      <c r="Q1563" s="464"/>
      <c r="R1563" s="464"/>
      <c r="S1563" s="402">
        <f t="shared" si="490"/>
        <v>0</v>
      </c>
      <c r="T1563" s="404">
        <f t="shared" si="483"/>
        <v>0</v>
      </c>
      <c r="U1563" s="403"/>
      <c r="V1563" s="160" t="str">
        <f>IF(T1561&gt;0,"xx",IF(O1561&gt;0,"xy",""))</f>
        <v>xx</v>
      </c>
      <c r="W1563" s="43" t="str">
        <f t="shared" si="474"/>
        <v>x</v>
      </c>
      <c r="X1563" s="43" t="str">
        <f t="shared" si="484"/>
        <v>x</v>
      </c>
      <c r="Y1563" s="43" t="str">
        <f t="shared" si="479"/>
        <v/>
      </c>
    </row>
    <row r="1564" spans="1:25">
      <c r="A1564" s="155" t="s">
        <v>183</v>
      </c>
      <c r="B1564" s="156"/>
      <c r="C1564" s="411" t="s">
        <v>323</v>
      </c>
      <c r="D1564" s="351"/>
      <c r="E1564" s="405"/>
      <c r="F1564" s="406">
        <f>VLOOKUP(C1561,'ENSAIOS DE ORÇAMENTO'!$C$3:$L$79,6,FALSE)</f>
        <v>1.1100000000000001</v>
      </c>
      <c r="G1564" s="158">
        <f t="shared" si="498"/>
        <v>1.3875000000000002</v>
      </c>
      <c r="H1564" s="465"/>
      <c r="I1564" s="465"/>
      <c r="J1564" s="407">
        <f t="shared" si="477"/>
        <v>0</v>
      </c>
      <c r="K1564" s="408"/>
      <c r="L1564" s="152">
        <v>0</v>
      </c>
      <c r="M1564" s="213"/>
      <c r="N1564" s="402">
        <f t="shared" si="488"/>
        <v>0</v>
      </c>
      <c r="O1564" s="402">
        <f t="shared" si="489"/>
        <v>0</v>
      </c>
      <c r="P1564" s="403"/>
      <c r="Q1564" s="464"/>
      <c r="R1564" s="464"/>
      <c r="S1564" s="402">
        <f t="shared" si="490"/>
        <v>0</v>
      </c>
      <c r="T1564" s="404">
        <f t="shared" si="483"/>
        <v>0</v>
      </c>
      <c r="U1564" s="403"/>
      <c r="V1564" s="160" t="str">
        <f>IF(T1561&gt;0,"xx",IF(O1561&gt;0,"xy",""))</f>
        <v>xx</v>
      </c>
      <c r="W1564" s="43" t="str">
        <f t="shared" si="474"/>
        <v>x</v>
      </c>
      <c r="X1564" s="43" t="str">
        <f t="shared" si="484"/>
        <v>x</v>
      </c>
      <c r="Y1564" s="43" t="str">
        <f t="shared" si="479"/>
        <v/>
      </c>
    </row>
    <row r="1565" spans="1:25">
      <c r="A1565" s="155" t="s">
        <v>183</v>
      </c>
      <c r="B1565" s="156"/>
      <c r="C1565" s="411" t="s">
        <v>511</v>
      </c>
      <c r="D1565" s="351"/>
      <c r="E1565" s="405"/>
      <c r="F1565" s="406">
        <f>VLOOKUP(C1561,'ENSAIOS DE ORÇAMENTO'!$C$3:$L$79,3,FALSE)</f>
        <v>0.73280000000000001</v>
      </c>
      <c r="G1565" s="158">
        <f t="shared" si="498"/>
        <v>0.91600000000000004</v>
      </c>
      <c r="H1565" s="465"/>
      <c r="I1565" s="465"/>
      <c r="J1565" s="407">
        <f t="shared" si="477"/>
        <v>0</v>
      </c>
      <c r="K1565" s="408"/>
      <c r="L1565" s="152">
        <v>0</v>
      </c>
      <c r="M1565" s="213"/>
      <c r="N1565" s="402">
        <f t="shared" si="488"/>
        <v>0</v>
      </c>
      <c r="O1565" s="402">
        <f t="shared" si="489"/>
        <v>0</v>
      </c>
      <c r="P1565" s="403"/>
      <c r="Q1565" s="464"/>
      <c r="R1565" s="464"/>
      <c r="S1565" s="402">
        <f t="shared" si="490"/>
        <v>0</v>
      </c>
      <c r="T1565" s="404">
        <f t="shared" si="483"/>
        <v>0</v>
      </c>
      <c r="U1565" s="403"/>
      <c r="V1565" s="160" t="str">
        <f>IF(T1561&gt;0,"xx",IF(O1561&gt;0,"xy",""))</f>
        <v>xx</v>
      </c>
      <c r="W1565" s="43" t="str">
        <f t="shared" si="474"/>
        <v>x</v>
      </c>
      <c r="X1565" s="43" t="str">
        <f t="shared" si="484"/>
        <v>x</v>
      </c>
      <c r="Y1565" s="43" t="str">
        <f t="shared" si="479"/>
        <v/>
      </c>
    </row>
    <row r="1566" spans="1:25">
      <c r="A1566" s="155" t="s">
        <v>183</v>
      </c>
      <c r="B1566" s="156"/>
      <c r="C1566" s="411" t="s">
        <v>512</v>
      </c>
      <c r="D1566" s="351"/>
      <c r="E1566" s="405">
        <v>530</v>
      </c>
      <c r="F1566" s="406">
        <f>VLOOKUP(C1561,'ENSAIOS DE ORÇAMENTO'!$C$3:$L$79,10,FALSE)</f>
        <v>2.6495999999999999E-2</v>
      </c>
      <c r="G1566" s="158">
        <f t="shared" ref="G1566" si="499">IF(E1566&lt;=30,(0.42*E1566+3.55)*F1566,((0.42*30+3.55)+0.35*(E1566-30))*F1566)</f>
        <v>5.0647104000000001</v>
      </c>
      <c r="H1566" s="465"/>
      <c r="I1566" s="465"/>
      <c r="J1566" s="407">
        <f t="shared" si="477"/>
        <v>0</v>
      </c>
      <c r="K1566" s="408"/>
      <c r="L1566" s="152">
        <v>0</v>
      </c>
      <c r="M1566" s="213"/>
      <c r="N1566" s="402">
        <f t="shared" si="488"/>
        <v>0</v>
      </c>
      <c r="O1566" s="402">
        <f t="shared" si="489"/>
        <v>0</v>
      </c>
      <c r="P1566" s="403"/>
      <c r="Q1566" s="464"/>
      <c r="R1566" s="464"/>
      <c r="S1566" s="402">
        <f t="shared" si="490"/>
        <v>0</v>
      </c>
      <c r="T1566" s="404">
        <f t="shared" si="483"/>
        <v>0</v>
      </c>
      <c r="U1566" s="403"/>
      <c r="V1566" s="160" t="str">
        <f>IF(T1561&gt;0,"xx",IF(O1561&gt;0,"xy",""))</f>
        <v>xx</v>
      </c>
      <c r="W1566" s="43" t="str">
        <f t="shared" si="474"/>
        <v>x</v>
      </c>
      <c r="X1566" s="43" t="str">
        <f t="shared" si="484"/>
        <v>x</v>
      </c>
      <c r="Y1566" s="43" t="str">
        <f t="shared" si="479"/>
        <v/>
      </c>
    </row>
    <row r="1567" spans="1:25" hidden="1">
      <c r="A1567" s="155" t="s">
        <v>143</v>
      </c>
      <c r="B1567" s="156" t="s">
        <v>242</v>
      </c>
      <c r="C1567" s="411" t="s">
        <v>157</v>
      </c>
      <c r="D1567" s="351"/>
      <c r="E1567" s="405"/>
      <c r="F1567" s="406"/>
      <c r="G1567" s="158">
        <f>SUM(G1568:G1572)</f>
        <v>238.20791133999995</v>
      </c>
      <c r="H1567" s="465">
        <f>VLOOKUP(C1567,'ENSAIOS DE ORÇAMENTO'!$C$3:$L$79,8,FALSE)</f>
        <v>1493.3983920000001</v>
      </c>
      <c r="I1567" s="465">
        <f>IF(ISBLANK(H1567),"",SUM(G1567:H1567))*0.92</f>
        <v>1593.0777990728002</v>
      </c>
      <c r="J1567" s="407">
        <f t="shared" si="477"/>
        <v>2020.02</v>
      </c>
      <c r="K1567" s="408" t="s">
        <v>23</v>
      </c>
      <c r="L1567" s="152">
        <v>0</v>
      </c>
      <c r="M1567" s="152"/>
      <c r="N1567" s="402">
        <f t="shared" si="488"/>
        <v>0</v>
      </c>
      <c r="O1567" s="402">
        <f t="shared" si="489"/>
        <v>0</v>
      </c>
      <c r="P1567" s="403"/>
      <c r="Q1567" s="152">
        <f t="shared" si="497"/>
        <v>0</v>
      </c>
      <c r="R1567" s="152">
        <f t="shared" si="497"/>
        <v>0</v>
      </c>
      <c r="S1567" s="402">
        <f t="shared" si="490"/>
        <v>0</v>
      </c>
      <c r="T1567" s="404">
        <f t="shared" si="483"/>
        <v>0</v>
      </c>
      <c r="U1567" s="403"/>
      <c r="W1567" s="43" t="str">
        <f t="shared" si="474"/>
        <v/>
      </c>
      <c r="X1567" s="43" t="str">
        <f t="shared" si="484"/>
        <v/>
      </c>
      <c r="Y1567" s="43" t="str">
        <f t="shared" si="479"/>
        <v/>
      </c>
    </row>
    <row r="1568" spans="1:25" hidden="1">
      <c r="A1568" s="155" t="s">
        <v>183</v>
      </c>
      <c r="B1568" s="156"/>
      <c r="C1568" s="411" t="s">
        <v>251</v>
      </c>
      <c r="D1568" s="351"/>
      <c r="E1568" s="405">
        <v>500</v>
      </c>
      <c r="F1568" s="406">
        <f>VLOOKUP(C1567,'ENSAIOS DE ORÇAMENTO'!$C$3:$L$79,4,FALSE)</f>
        <v>0.37163359999999995</v>
      </c>
      <c r="G1568" s="158">
        <f>IF(E1568&lt;=30,(0.42*E1568+3.55)*F1568,((0.42*30+3.55)+0.35*(E1568-30))*F1568)</f>
        <v>67.135609839999987</v>
      </c>
      <c r="H1568" s="465"/>
      <c r="I1568" s="465"/>
      <c r="J1568" s="407">
        <f t="shared" si="477"/>
        <v>0</v>
      </c>
      <c r="K1568" s="408"/>
      <c r="L1568" s="152">
        <v>0</v>
      </c>
      <c r="M1568" s="213"/>
      <c r="N1568" s="402">
        <f t="shared" si="488"/>
        <v>0</v>
      </c>
      <c r="O1568" s="402">
        <f t="shared" si="489"/>
        <v>0</v>
      </c>
      <c r="P1568" s="403"/>
      <c r="Q1568" s="464"/>
      <c r="R1568" s="464"/>
      <c r="S1568" s="402">
        <f t="shared" si="490"/>
        <v>0</v>
      </c>
      <c r="T1568" s="404">
        <f t="shared" si="483"/>
        <v>0</v>
      </c>
      <c r="U1568" s="403"/>
      <c r="V1568" s="160" t="str">
        <f>IF(T1567&gt;0,"xx",IF(O1567&gt;0,"xy",""))</f>
        <v/>
      </c>
      <c r="W1568" s="43" t="str">
        <f t="shared" si="474"/>
        <v/>
      </c>
      <c r="X1568" s="43" t="str">
        <f t="shared" si="484"/>
        <v/>
      </c>
      <c r="Y1568" s="43" t="str">
        <f t="shared" si="479"/>
        <v/>
      </c>
    </row>
    <row r="1569" spans="1:25" hidden="1">
      <c r="A1569" s="155" t="s">
        <v>183</v>
      </c>
      <c r="B1569" s="156"/>
      <c r="C1569" s="411" t="s">
        <v>314</v>
      </c>
      <c r="D1569" s="351"/>
      <c r="E1569" s="405">
        <v>180</v>
      </c>
      <c r="F1569" s="406">
        <f>VLOOKUP(C1567,'ENSAIOS DE ORÇAMENTO'!$C$3:$L$79,5,FALSE)</f>
        <v>1.3677899999999998</v>
      </c>
      <c r="G1569" s="158">
        <f t="shared" ref="G1569:G1571" si="500">IF(E1569&lt;=30,(0.6*E1569+1.25)*F1569,((0.6*30+1.25)+0.5*(E1569-30))*F1569)</f>
        <v>128.91420749999997</v>
      </c>
      <c r="H1569" s="465"/>
      <c r="I1569" s="465"/>
      <c r="J1569" s="407">
        <f t="shared" si="477"/>
        <v>0</v>
      </c>
      <c r="K1569" s="408"/>
      <c r="L1569" s="152">
        <v>0</v>
      </c>
      <c r="M1569" s="213"/>
      <c r="N1569" s="402">
        <f t="shared" si="488"/>
        <v>0</v>
      </c>
      <c r="O1569" s="402">
        <f t="shared" si="489"/>
        <v>0</v>
      </c>
      <c r="P1569" s="403"/>
      <c r="Q1569" s="464"/>
      <c r="R1569" s="464"/>
      <c r="S1569" s="402">
        <f t="shared" si="490"/>
        <v>0</v>
      </c>
      <c r="T1569" s="404">
        <f t="shared" si="483"/>
        <v>0</v>
      </c>
      <c r="U1569" s="403"/>
      <c r="V1569" s="160" t="str">
        <f>IF(T1567&gt;0,"xx",IF(O1567&gt;0,"xy",""))</f>
        <v/>
      </c>
      <c r="W1569" s="43" t="str">
        <f t="shared" si="474"/>
        <v/>
      </c>
      <c r="X1569" s="43" t="str">
        <f t="shared" si="484"/>
        <v/>
      </c>
      <c r="Y1569" s="43" t="str">
        <f t="shared" si="479"/>
        <v/>
      </c>
    </row>
    <row r="1570" spans="1:25" hidden="1">
      <c r="A1570" s="155" t="s">
        <v>183</v>
      </c>
      <c r="B1570" s="156"/>
      <c r="C1570" s="411" t="s">
        <v>323</v>
      </c>
      <c r="D1570" s="351"/>
      <c r="E1570" s="405">
        <v>20</v>
      </c>
      <c r="F1570" s="406">
        <f>VLOOKUP(C1567,'ENSAIOS DE ORÇAMENTO'!$C$3:$L$79,6,FALSE)</f>
        <v>1.1766000000000001</v>
      </c>
      <c r="G1570" s="158">
        <f t="shared" si="500"/>
        <v>15.589950000000002</v>
      </c>
      <c r="H1570" s="465"/>
      <c r="I1570" s="465"/>
      <c r="J1570" s="407">
        <f t="shared" si="477"/>
        <v>0</v>
      </c>
      <c r="K1570" s="408"/>
      <c r="L1570" s="152">
        <v>0</v>
      </c>
      <c r="M1570" s="213"/>
      <c r="N1570" s="402">
        <f t="shared" si="488"/>
        <v>0</v>
      </c>
      <c r="O1570" s="402">
        <f t="shared" si="489"/>
        <v>0</v>
      </c>
      <c r="P1570" s="403"/>
      <c r="Q1570" s="464"/>
      <c r="R1570" s="464"/>
      <c r="S1570" s="402">
        <f t="shared" si="490"/>
        <v>0</v>
      </c>
      <c r="T1570" s="404">
        <f t="shared" si="483"/>
        <v>0</v>
      </c>
      <c r="U1570" s="403"/>
      <c r="V1570" s="160" t="str">
        <f>IF(T1567&gt;0,"xx",IF(O1567&gt;0,"xy",""))</f>
        <v/>
      </c>
      <c r="W1570" s="43" t="str">
        <f t="shared" si="474"/>
        <v/>
      </c>
      <c r="X1570" s="43" t="str">
        <f t="shared" si="484"/>
        <v/>
      </c>
      <c r="Y1570" s="43" t="str">
        <f t="shared" si="479"/>
        <v/>
      </c>
    </row>
    <row r="1571" spans="1:25" hidden="1">
      <c r="A1571" s="155" t="s">
        <v>183</v>
      </c>
      <c r="B1571" s="156"/>
      <c r="C1571" s="411" t="s">
        <v>511</v>
      </c>
      <c r="D1571" s="351"/>
      <c r="E1571" s="405">
        <v>30</v>
      </c>
      <c r="F1571" s="406">
        <f>VLOOKUP(C1567,'ENSAIOS DE ORÇAMENTO'!$C$3:$L$79,3,FALSE)</f>
        <v>1.0305</v>
      </c>
      <c r="G1571" s="158">
        <f t="shared" si="500"/>
        <v>19.837125</v>
      </c>
      <c r="H1571" s="465"/>
      <c r="I1571" s="465"/>
      <c r="J1571" s="407">
        <f t="shared" si="477"/>
        <v>0</v>
      </c>
      <c r="K1571" s="408"/>
      <c r="L1571" s="152">
        <v>0</v>
      </c>
      <c r="M1571" s="213"/>
      <c r="N1571" s="402">
        <f t="shared" si="488"/>
        <v>0</v>
      </c>
      <c r="O1571" s="402">
        <f t="shared" si="489"/>
        <v>0</v>
      </c>
      <c r="P1571" s="403"/>
      <c r="Q1571" s="464"/>
      <c r="R1571" s="464"/>
      <c r="S1571" s="402">
        <f t="shared" si="490"/>
        <v>0</v>
      </c>
      <c r="T1571" s="404">
        <f t="shared" si="483"/>
        <v>0</v>
      </c>
      <c r="U1571" s="403"/>
      <c r="V1571" s="160" t="str">
        <f>IF(T1567&gt;0,"xx",IF(O1567&gt;0,"xy",""))</f>
        <v/>
      </c>
      <c r="W1571" s="43" t="str">
        <f t="shared" si="474"/>
        <v/>
      </c>
      <c r="X1571" s="43" t="str">
        <f t="shared" si="484"/>
        <v/>
      </c>
      <c r="Y1571" s="43" t="str">
        <f t="shared" si="479"/>
        <v/>
      </c>
    </row>
    <row r="1572" spans="1:25" hidden="1">
      <c r="A1572" s="155" t="s">
        <v>183</v>
      </c>
      <c r="B1572" s="156"/>
      <c r="C1572" s="411" t="s">
        <v>512</v>
      </c>
      <c r="D1572" s="351"/>
      <c r="E1572" s="405">
        <v>500</v>
      </c>
      <c r="F1572" s="406">
        <f>VLOOKUP(C1567,'ENSAIOS DE ORÇAMENTO'!$C$3:$L$79,10,FALSE)</f>
        <v>3.7260000000000001E-2</v>
      </c>
      <c r="G1572" s="158">
        <f t="shared" ref="G1572" si="501">IF(E1572&lt;=30,(0.42*E1572+3.55)*F1572,((0.42*30+3.55)+0.35*(E1572-30))*F1572)</f>
        <v>6.7310190000000008</v>
      </c>
      <c r="H1572" s="465"/>
      <c r="I1572" s="465"/>
      <c r="J1572" s="407">
        <f t="shared" si="477"/>
        <v>0</v>
      </c>
      <c r="K1572" s="408"/>
      <c r="L1572" s="152">
        <v>0</v>
      </c>
      <c r="M1572" s="213"/>
      <c r="N1572" s="402">
        <f t="shared" si="488"/>
        <v>0</v>
      </c>
      <c r="O1572" s="402">
        <f t="shared" si="489"/>
        <v>0</v>
      </c>
      <c r="P1572" s="403"/>
      <c r="Q1572" s="464"/>
      <c r="R1572" s="464"/>
      <c r="S1572" s="402">
        <f t="shared" si="490"/>
        <v>0</v>
      </c>
      <c r="T1572" s="404">
        <f t="shared" si="483"/>
        <v>0</v>
      </c>
      <c r="U1572" s="403"/>
      <c r="V1572" s="160" t="str">
        <f>IF(T1567&gt;0,"xx",IF(O1567&gt;0,"xy",""))</f>
        <v/>
      </c>
      <c r="W1572" s="43" t="str">
        <f t="shared" si="474"/>
        <v/>
      </c>
      <c r="X1572" s="43" t="str">
        <f t="shared" si="484"/>
        <v/>
      </c>
      <c r="Y1572" s="43" t="str">
        <f t="shared" si="479"/>
        <v/>
      </c>
    </row>
    <row r="1573" spans="1:25">
      <c r="A1573" s="155" t="s">
        <v>144</v>
      </c>
      <c r="B1573" s="156" t="s">
        <v>242</v>
      </c>
      <c r="C1573" s="411" t="s">
        <v>158</v>
      </c>
      <c r="D1573" s="351"/>
      <c r="E1573" s="405"/>
      <c r="F1573" s="406"/>
      <c r="G1573" s="158">
        <f>SUM(G1574:G1578)</f>
        <v>316.11832401000009</v>
      </c>
      <c r="H1573" s="465">
        <f>VLOOKUP(C1573,'ENSAIOS DE ORÇAMENTO'!$C$3:$L$79,8,FALSE)</f>
        <v>1662.5411879999997</v>
      </c>
      <c r="I1573" s="465">
        <f>IF(ISBLANK(H1573),"",SUM(G1573:H1573))*0.92</f>
        <v>1820.3667510492</v>
      </c>
      <c r="J1573" s="407">
        <f t="shared" si="477"/>
        <v>2308.23</v>
      </c>
      <c r="K1573" s="408" t="s">
        <v>23</v>
      </c>
      <c r="L1573" s="152">
        <v>8</v>
      </c>
      <c r="M1573" s="152">
        <v>2306.85</v>
      </c>
      <c r="N1573" s="402">
        <f t="shared" si="488"/>
        <v>18465.84</v>
      </c>
      <c r="O1573" s="402">
        <f t="shared" si="489"/>
        <v>18454.8</v>
      </c>
      <c r="P1573" s="403"/>
      <c r="Q1573" s="152">
        <f t="shared" si="497"/>
        <v>8</v>
      </c>
      <c r="R1573" s="152">
        <f t="shared" si="497"/>
        <v>2306.85</v>
      </c>
      <c r="S1573" s="402">
        <f t="shared" si="490"/>
        <v>18465.84</v>
      </c>
      <c r="T1573" s="404">
        <f t="shared" si="483"/>
        <v>18454.8</v>
      </c>
      <c r="U1573" s="403"/>
      <c r="W1573" s="43" t="str">
        <f t="shared" si="474"/>
        <v>x</v>
      </c>
      <c r="X1573" s="43" t="str">
        <f t="shared" si="484"/>
        <v>x</v>
      </c>
      <c r="Y1573" s="43" t="str">
        <f t="shared" si="479"/>
        <v>x</v>
      </c>
    </row>
    <row r="1574" spans="1:25">
      <c r="A1574" s="155" t="s">
        <v>183</v>
      </c>
      <c r="B1574" s="156"/>
      <c r="C1574" s="411" t="s">
        <v>251</v>
      </c>
      <c r="D1574" s="351"/>
      <c r="E1574" s="405">
        <v>530</v>
      </c>
      <c r="F1574" s="406">
        <f>VLOOKUP(C1573,'ENSAIOS DE ORÇAMENTO'!$C$3:$L$79,4,FALSE)</f>
        <v>0.41296640000000001</v>
      </c>
      <c r="G1574" s="158">
        <f>IF(E1574&lt;=30,(0.42*E1574+3.55)*F1574,((0.42*30+3.55)+0.35*(E1574-30))*F1574)</f>
        <v>78.938527360000009</v>
      </c>
      <c r="H1574" s="465"/>
      <c r="I1574" s="465"/>
      <c r="J1574" s="407">
        <f t="shared" si="477"/>
        <v>0</v>
      </c>
      <c r="K1574" s="408"/>
      <c r="L1574" s="152">
        <v>0</v>
      </c>
      <c r="M1574" s="213"/>
      <c r="N1574" s="402">
        <f t="shared" si="488"/>
        <v>0</v>
      </c>
      <c r="O1574" s="402">
        <f t="shared" si="489"/>
        <v>0</v>
      </c>
      <c r="P1574" s="403"/>
      <c r="Q1574" s="464"/>
      <c r="R1574" s="464"/>
      <c r="S1574" s="402">
        <f t="shared" si="490"/>
        <v>0</v>
      </c>
      <c r="T1574" s="404">
        <f t="shared" si="483"/>
        <v>0</v>
      </c>
      <c r="U1574" s="403"/>
      <c r="V1574" s="160" t="str">
        <f>IF(T1573&gt;0,"xx",IF(O1573&gt;0,"xy",""))</f>
        <v>xx</v>
      </c>
      <c r="W1574" s="43" t="str">
        <f t="shared" si="474"/>
        <v>x</v>
      </c>
      <c r="X1574" s="43" t="str">
        <f t="shared" si="484"/>
        <v>x</v>
      </c>
      <c r="Y1574" s="43" t="str">
        <f t="shared" si="479"/>
        <v/>
      </c>
    </row>
    <row r="1575" spans="1:25">
      <c r="A1575" s="155" t="s">
        <v>183</v>
      </c>
      <c r="B1575" s="156"/>
      <c r="C1575" s="411" t="s">
        <v>314</v>
      </c>
      <c r="D1575" s="351"/>
      <c r="E1575" s="405">
        <v>270</v>
      </c>
      <c r="F1575" s="406">
        <f>VLOOKUP(C1573,'ENSAIOS DE ORÇAMENTO'!$C$3:$L$79,5,FALSE)</f>
        <v>1.6053370000000002</v>
      </c>
      <c r="G1575" s="158">
        <f t="shared" ref="G1575:G1577" si="502">IF(E1575&lt;=30,(0.6*E1575+1.25)*F1575,((0.6*30+1.25)+0.5*(E1575-30))*F1575)</f>
        <v>223.54317725000004</v>
      </c>
      <c r="H1575" s="465"/>
      <c r="I1575" s="465"/>
      <c r="J1575" s="407">
        <f t="shared" si="477"/>
        <v>0</v>
      </c>
      <c r="K1575" s="408"/>
      <c r="L1575" s="152">
        <v>0</v>
      </c>
      <c r="M1575" s="213"/>
      <c r="N1575" s="402">
        <f t="shared" si="488"/>
        <v>0</v>
      </c>
      <c r="O1575" s="402">
        <f t="shared" si="489"/>
        <v>0</v>
      </c>
      <c r="P1575" s="403"/>
      <c r="Q1575" s="464"/>
      <c r="R1575" s="464"/>
      <c r="S1575" s="402">
        <f t="shared" si="490"/>
        <v>0</v>
      </c>
      <c r="T1575" s="404">
        <f t="shared" si="483"/>
        <v>0</v>
      </c>
      <c r="U1575" s="403"/>
      <c r="V1575" s="160" t="str">
        <f>IF(T1573&gt;0,"xx",IF(O1573&gt;0,"xy",""))</f>
        <v>xx</v>
      </c>
      <c r="W1575" s="43" t="str">
        <f t="shared" si="474"/>
        <v>x</v>
      </c>
      <c r="X1575" s="43" t="str">
        <f t="shared" si="484"/>
        <v>x</v>
      </c>
      <c r="Y1575" s="43" t="str">
        <f t="shared" si="479"/>
        <v/>
      </c>
    </row>
    <row r="1576" spans="1:25">
      <c r="A1576" s="155" t="s">
        <v>183</v>
      </c>
      <c r="B1576" s="156"/>
      <c r="C1576" s="411" t="s">
        <v>323</v>
      </c>
      <c r="D1576" s="351"/>
      <c r="E1576" s="405"/>
      <c r="F1576" s="406">
        <f>VLOOKUP(C1573,'ENSAIOS DE ORÇAMENTO'!$C$3:$L$79,6,FALSE)</f>
        <v>1.2654000000000003</v>
      </c>
      <c r="G1576" s="158">
        <f t="shared" si="502"/>
        <v>1.5817500000000004</v>
      </c>
      <c r="H1576" s="465"/>
      <c r="I1576" s="465"/>
      <c r="J1576" s="407">
        <f t="shared" si="477"/>
        <v>0</v>
      </c>
      <c r="K1576" s="408"/>
      <c r="L1576" s="152">
        <v>0</v>
      </c>
      <c r="M1576" s="213"/>
      <c r="N1576" s="402">
        <f t="shared" si="488"/>
        <v>0</v>
      </c>
      <c r="O1576" s="402">
        <f t="shared" si="489"/>
        <v>0</v>
      </c>
      <c r="P1576" s="403"/>
      <c r="Q1576" s="464"/>
      <c r="R1576" s="464"/>
      <c r="S1576" s="402">
        <f t="shared" si="490"/>
        <v>0</v>
      </c>
      <c r="T1576" s="404">
        <f t="shared" si="483"/>
        <v>0</v>
      </c>
      <c r="U1576" s="403"/>
      <c r="V1576" s="160" t="str">
        <f>IF(T1573&gt;0,"xx",IF(O1573&gt;0,"xy",""))</f>
        <v>xx</v>
      </c>
      <c r="W1576" s="43" t="str">
        <f t="shared" si="474"/>
        <v>x</v>
      </c>
      <c r="X1576" s="43" t="str">
        <f t="shared" si="484"/>
        <v>x</v>
      </c>
      <c r="Y1576" s="43" t="str">
        <f t="shared" si="479"/>
        <v/>
      </c>
    </row>
    <row r="1577" spans="1:25">
      <c r="A1577" s="155" t="s">
        <v>183</v>
      </c>
      <c r="B1577" s="156"/>
      <c r="C1577" s="411" t="s">
        <v>511</v>
      </c>
      <c r="D1577" s="351"/>
      <c r="E1577" s="405"/>
      <c r="F1577" s="406">
        <f>VLOOKUP(C1573,'ENSAIOS DE ORÇAMENTO'!$C$3:$L$79,3,FALSE)</f>
        <v>1.47705</v>
      </c>
      <c r="G1577" s="158">
        <f t="shared" si="502"/>
        <v>1.8463125</v>
      </c>
      <c r="H1577" s="465"/>
      <c r="I1577" s="465"/>
      <c r="J1577" s="407">
        <f t="shared" si="477"/>
        <v>0</v>
      </c>
      <c r="K1577" s="408"/>
      <c r="L1577" s="152">
        <v>0</v>
      </c>
      <c r="M1577" s="213"/>
      <c r="N1577" s="402">
        <f t="shared" si="488"/>
        <v>0</v>
      </c>
      <c r="O1577" s="402">
        <f t="shared" si="489"/>
        <v>0</v>
      </c>
      <c r="P1577" s="403"/>
      <c r="Q1577" s="464"/>
      <c r="R1577" s="464"/>
      <c r="S1577" s="402">
        <f t="shared" si="490"/>
        <v>0</v>
      </c>
      <c r="T1577" s="404">
        <f t="shared" si="483"/>
        <v>0</v>
      </c>
      <c r="U1577" s="403"/>
      <c r="V1577" s="160" t="str">
        <f>IF(T1573&gt;0,"xx",IF(O1573&gt;0,"xy",""))</f>
        <v>xx</v>
      </c>
      <c r="W1577" s="43" t="str">
        <f t="shared" si="474"/>
        <v>x</v>
      </c>
      <c r="X1577" s="43" t="str">
        <f t="shared" si="484"/>
        <v>x</v>
      </c>
      <c r="Y1577" s="43" t="str">
        <f t="shared" si="479"/>
        <v/>
      </c>
    </row>
    <row r="1578" spans="1:25">
      <c r="A1578" s="155" t="s">
        <v>183</v>
      </c>
      <c r="B1578" s="156"/>
      <c r="C1578" s="411" t="s">
        <v>512</v>
      </c>
      <c r="D1578" s="351"/>
      <c r="E1578" s="405">
        <v>530</v>
      </c>
      <c r="F1578" s="406">
        <f>VLOOKUP(C1573,'ENSAIOS DE ORÇAMENTO'!$C$3:$L$79,10,FALSE)</f>
        <v>5.3406000000000002E-2</v>
      </c>
      <c r="G1578" s="158">
        <f t="shared" ref="G1578" si="503">IF(E1578&lt;=30,(0.42*E1578+3.55)*F1578,((0.42*30+3.55)+0.35*(E1578-30))*F1578)</f>
        <v>10.208556900000001</v>
      </c>
      <c r="H1578" s="465"/>
      <c r="I1578" s="465"/>
      <c r="J1578" s="407">
        <f t="shared" si="477"/>
        <v>0</v>
      </c>
      <c r="K1578" s="408"/>
      <c r="L1578" s="152">
        <v>0</v>
      </c>
      <c r="M1578" s="213"/>
      <c r="N1578" s="402">
        <f t="shared" si="488"/>
        <v>0</v>
      </c>
      <c r="O1578" s="402">
        <f t="shared" si="489"/>
        <v>0</v>
      </c>
      <c r="P1578" s="403"/>
      <c r="Q1578" s="464"/>
      <c r="R1578" s="464"/>
      <c r="S1578" s="402">
        <f t="shared" si="490"/>
        <v>0</v>
      </c>
      <c r="T1578" s="404">
        <f t="shared" si="483"/>
        <v>0</v>
      </c>
      <c r="U1578" s="403"/>
      <c r="V1578" s="160" t="str">
        <f>IF(T1573&gt;0,"xx",IF(O1573&gt;0,"xy",""))</f>
        <v>xx</v>
      </c>
      <c r="W1578" s="43" t="str">
        <f t="shared" si="474"/>
        <v>x</v>
      </c>
      <c r="X1578" s="43" t="str">
        <f t="shared" si="484"/>
        <v>x</v>
      </c>
      <c r="Y1578" s="43" t="str">
        <f t="shared" si="479"/>
        <v/>
      </c>
    </row>
    <row r="1579" spans="1:25" hidden="1">
      <c r="A1579" s="155" t="s">
        <v>49</v>
      </c>
      <c r="B1579" s="156" t="s">
        <v>242</v>
      </c>
      <c r="C1579" s="411" t="s">
        <v>159</v>
      </c>
      <c r="D1579" s="351"/>
      <c r="E1579" s="405"/>
      <c r="F1579" s="406"/>
      <c r="G1579" s="158">
        <f>SUM(G1580:G1584)</f>
        <v>307.77516339500005</v>
      </c>
      <c r="H1579" s="465">
        <f>VLOOKUP(C1579,'ENSAIOS DE ORÇAMENTO'!$C$3:$L$79,8,FALSE)</f>
        <v>1771.2670860000001</v>
      </c>
      <c r="I1579" s="465">
        <f>IF(ISBLANK(H1579),"",SUM(G1579:H1579))*0.92</f>
        <v>1912.7188694434001</v>
      </c>
      <c r="J1579" s="407">
        <f t="shared" si="477"/>
        <v>2425.33</v>
      </c>
      <c r="K1579" s="408" t="s">
        <v>23</v>
      </c>
      <c r="L1579" s="152">
        <v>0</v>
      </c>
      <c r="M1579" s="152"/>
      <c r="N1579" s="402">
        <f t="shared" si="488"/>
        <v>0</v>
      </c>
      <c r="O1579" s="402">
        <f t="shared" si="489"/>
        <v>0</v>
      </c>
      <c r="P1579" s="403"/>
      <c r="Q1579" s="152">
        <f t="shared" si="497"/>
        <v>0</v>
      </c>
      <c r="R1579" s="152">
        <f t="shared" si="497"/>
        <v>0</v>
      </c>
      <c r="S1579" s="402">
        <f t="shared" si="490"/>
        <v>0</v>
      </c>
      <c r="T1579" s="404">
        <f t="shared" si="483"/>
        <v>0</v>
      </c>
      <c r="U1579" s="403"/>
      <c r="W1579" s="43" t="str">
        <f t="shared" si="474"/>
        <v/>
      </c>
      <c r="X1579" s="43" t="str">
        <f t="shared" si="484"/>
        <v/>
      </c>
      <c r="Y1579" s="43" t="str">
        <f t="shared" si="479"/>
        <v/>
      </c>
    </row>
    <row r="1580" spans="1:25" hidden="1">
      <c r="A1580" s="155" t="s">
        <v>183</v>
      </c>
      <c r="B1580" s="156"/>
      <c r="C1580" s="411" t="s">
        <v>251</v>
      </c>
      <c r="D1580" s="351"/>
      <c r="E1580" s="405">
        <v>500</v>
      </c>
      <c r="F1580" s="406">
        <f>VLOOKUP(C1579,'ENSAIOS DE ORÇAMENTO'!$C$3:$L$79,4,FALSE)</f>
        <v>0.43855980000000006</v>
      </c>
      <c r="G1580" s="158">
        <f>IF(E1580&lt;=30,(0.42*E1580+3.55)*F1580,((0.42*30+3.55)+0.35*(E1580-30))*F1580)</f>
        <v>79.225827870000018</v>
      </c>
      <c r="H1580" s="465"/>
      <c r="I1580" s="465"/>
      <c r="J1580" s="407">
        <f t="shared" si="477"/>
        <v>0</v>
      </c>
      <c r="K1580" s="408"/>
      <c r="L1580" s="152">
        <v>0</v>
      </c>
      <c r="M1580" s="213"/>
      <c r="N1580" s="402">
        <f t="shared" si="488"/>
        <v>0</v>
      </c>
      <c r="O1580" s="402">
        <f t="shared" si="489"/>
        <v>0</v>
      </c>
      <c r="P1580" s="403"/>
      <c r="Q1580" s="464"/>
      <c r="R1580" s="464"/>
      <c r="S1580" s="402">
        <f t="shared" si="490"/>
        <v>0</v>
      </c>
      <c r="T1580" s="404">
        <f t="shared" si="483"/>
        <v>0</v>
      </c>
      <c r="U1580" s="403"/>
      <c r="V1580" s="160" t="str">
        <f>IF(T1579&gt;0,"xx",IF(O1579&gt;0,"xy",""))</f>
        <v/>
      </c>
      <c r="W1580" s="43" t="str">
        <f t="shared" si="474"/>
        <v/>
      </c>
      <c r="X1580" s="43" t="str">
        <f t="shared" si="484"/>
        <v/>
      </c>
      <c r="Y1580" s="43" t="str">
        <f t="shared" si="479"/>
        <v/>
      </c>
    </row>
    <row r="1581" spans="1:25" hidden="1">
      <c r="A1581" s="155" t="s">
        <v>183</v>
      </c>
      <c r="B1581" s="156"/>
      <c r="C1581" s="411" t="s">
        <v>314</v>
      </c>
      <c r="D1581" s="351"/>
      <c r="E1581" s="405">
        <v>180</v>
      </c>
      <c r="F1581" s="406">
        <f>VLOOKUP(C1579,'ENSAIOS DE ORÇAMENTO'!$C$3:$L$79,5,FALSE)</f>
        <v>1.7568845</v>
      </c>
      <c r="G1581" s="158">
        <f t="shared" ref="G1581:G1583" si="504">IF(E1581&lt;=30,(0.6*E1581+1.25)*F1581,((0.6*30+1.25)+0.5*(E1581-30))*F1581)</f>
        <v>165.58636412499999</v>
      </c>
      <c r="H1581" s="465"/>
      <c r="I1581" s="465"/>
      <c r="J1581" s="407">
        <f t="shared" si="477"/>
        <v>0</v>
      </c>
      <c r="K1581" s="408"/>
      <c r="L1581" s="152">
        <v>0</v>
      </c>
      <c r="M1581" s="213"/>
      <c r="N1581" s="402">
        <f t="shared" si="488"/>
        <v>0</v>
      </c>
      <c r="O1581" s="402">
        <f t="shared" si="489"/>
        <v>0</v>
      </c>
      <c r="P1581" s="403"/>
      <c r="Q1581" s="464"/>
      <c r="R1581" s="464"/>
      <c r="S1581" s="402">
        <f t="shared" si="490"/>
        <v>0</v>
      </c>
      <c r="T1581" s="404">
        <f t="shared" si="483"/>
        <v>0</v>
      </c>
      <c r="U1581" s="403"/>
      <c r="V1581" s="160" t="str">
        <f>IF(T1579&gt;0,"xx",IF(O1579&gt;0,"xy",""))</f>
        <v/>
      </c>
      <c r="W1581" s="43" t="str">
        <f t="shared" ref="W1581:W1644" si="505">IF(V1581="X","x",IF(V1581="xx","x",IF(V1581="xy","x",IF(V1581="y","x",IF(OR(O1581&gt;0,T1581&gt;0),"x","")))))</f>
        <v/>
      </c>
      <c r="X1581" s="43" t="str">
        <f t="shared" si="484"/>
        <v/>
      </c>
      <c r="Y1581" s="43" t="str">
        <f t="shared" si="479"/>
        <v/>
      </c>
    </row>
    <row r="1582" spans="1:25" hidden="1">
      <c r="A1582" s="155" t="s">
        <v>183</v>
      </c>
      <c r="B1582" s="156"/>
      <c r="C1582" s="411" t="s">
        <v>323</v>
      </c>
      <c r="D1582" s="351"/>
      <c r="E1582" s="405">
        <v>20</v>
      </c>
      <c r="F1582" s="406">
        <f>VLOOKUP(C1579,'ENSAIOS DE ORÇAMENTO'!$C$3:$L$79,6,FALSE)</f>
        <v>1.3209000000000002</v>
      </c>
      <c r="G1582" s="158">
        <f t="shared" si="504"/>
        <v>17.501925000000004</v>
      </c>
      <c r="H1582" s="465"/>
      <c r="I1582" s="465"/>
      <c r="J1582" s="407">
        <f t="shared" si="477"/>
        <v>0</v>
      </c>
      <c r="K1582" s="408"/>
      <c r="L1582" s="152">
        <v>0</v>
      </c>
      <c r="M1582" s="213"/>
      <c r="N1582" s="402">
        <f t="shared" si="488"/>
        <v>0</v>
      </c>
      <c r="O1582" s="402">
        <f t="shared" si="489"/>
        <v>0</v>
      </c>
      <c r="P1582" s="403"/>
      <c r="Q1582" s="464"/>
      <c r="R1582" s="464"/>
      <c r="S1582" s="402">
        <f t="shared" si="490"/>
        <v>0</v>
      </c>
      <c r="T1582" s="404">
        <f t="shared" si="483"/>
        <v>0</v>
      </c>
      <c r="U1582" s="403"/>
      <c r="V1582" s="160" t="str">
        <f>IF(T1579&gt;0,"xx",IF(O1579&gt;0,"xy",""))</f>
        <v/>
      </c>
      <c r="W1582" s="43" t="str">
        <f t="shared" si="505"/>
        <v/>
      </c>
      <c r="X1582" s="43" t="str">
        <f t="shared" si="484"/>
        <v/>
      </c>
      <c r="Y1582" s="43" t="str">
        <f t="shared" si="479"/>
        <v/>
      </c>
    </row>
    <row r="1583" spans="1:25" hidden="1">
      <c r="A1583" s="155" t="s">
        <v>183</v>
      </c>
      <c r="B1583" s="156"/>
      <c r="C1583" s="411" t="s">
        <v>511</v>
      </c>
      <c r="D1583" s="351"/>
      <c r="E1583" s="405">
        <v>30</v>
      </c>
      <c r="F1583" s="406">
        <f>VLOOKUP(C1579,'ENSAIOS DE ORÇAMENTO'!$C$3:$L$79,3,FALSE)</f>
        <v>1.7633000000000001</v>
      </c>
      <c r="G1583" s="158">
        <f t="shared" si="504"/>
        <v>33.943525000000001</v>
      </c>
      <c r="H1583" s="465"/>
      <c r="I1583" s="465"/>
      <c r="J1583" s="407">
        <f t="shared" si="477"/>
        <v>0</v>
      </c>
      <c r="K1583" s="408"/>
      <c r="L1583" s="152">
        <v>0</v>
      </c>
      <c r="M1583" s="213"/>
      <c r="N1583" s="402">
        <f t="shared" si="488"/>
        <v>0</v>
      </c>
      <c r="O1583" s="402">
        <f t="shared" si="489"/>
        <v>0</v>
      </c>
      <c r="P1583" s="403"/>
      <c r="Q1583" s="464"/>
      <c r="R1583" s="464"/>
      <c r="S1583" s="402">
        <f t="shared" si="490"/>
        <v>0</v>
      </c>
      <c r="T1583" s="404">
        <f t="shared" si="483"/>
        <v>0</v>
      </c>
      <c r="U1583" s="403"/>
      <c r="V1583" s="160" t="str">
        <f>IF(T1579&gt;0,"xx",IF(O1579&gt;0,"xy",""))</f>
        <v/>
      </c>
      <c r="W1583" s="43" t="str">
        <f t="shared" si="505"/>
        <v/>
      </c>
      <c r="X1583" s="43" t="str">
        <f t="shared" si="484"/>
        <v/>
      </c>
      <c r="Y1583" s="43" t="str">
        <f t="shared" si="479"/>
        <v/>
      </c>
    </row>
    <row r="1584" spans="1:25" hidden="1">
      <c r="A1584" s="155" t="s">
        <v>183</v>
      </c>
      <c r="B1584" s="156"/>
      <c r="C1584" s="411" t="s">
        <v>512</v>
      </c>
      <c r="D1584" s="351"/>
      <c r="E1584" s="405">
        <v>500</v>
      </c>
      <c r="F1584" s="406">
        <f>VLOOKUP(C1579,'ENSAIOS DE ORÇAMENTO'!$C$3:$L$79,10,FALSE)</f>
        <v>6.3756000000000007E-2</v>
      </c>
      <c r="G1584" s="158">
        <f t="shared" ref="G1584" si="506">IF(E1584&lt;=30,(0.42*E1584+3.55)*F1584,((0.42*30+3.55)+0.35*(E1584-30))*F1584)</f>
        <v>11.517521400000001</v>
      </c>
      <c r="H1584" s="465"/>
      <c r="I1584" s="465"/>
      <c r="J1584" s="407">
        <f t="shared" si="477"/>
        <v>0</v>
      </c>
      <c r="K1584" s="408"/>
      <c r="L1584" s="152">
        <v>0</v>
      </c>
      <c r="M1584" s="213"/>
      <c r="N1584" s="402">
        <f t="shared" si="488"/>
        <v>0</v>
      </c>
      <c r="O1584" s="402">
        <f t="shared" si="489"/>
        <v>0</v>
      </c>
      <c r="P1584" s="403"/>
      <c r="Q1584" s="464"/>
      <c r="R1584" s="464"/>
      <c r="S1584" s="402">
        <f t="shared" si="490"/>
        <v>0</v>
      </c>
      <c r="T1584" s="404">
        <f t="shared" si="483"/>
        <v>0</v>
      </c>
      <c r="U1584" s="403"/>
      <c r="V1584" s="160" t="str">
        <f>IF(T1579&gt;0,"xx",IF(O1579&gt;0,"xy",""))</f>
        <v/>
      </c>
      <c r="W1584" s="43" t="str">
        <f t="shared" si="505"/>
        <v/>
      </c>
      <c r="X1584" s="43" t="str">
        <f t="shared" si="484"/>
        <v/>
      </c>
      <c r="Y1584" s="43" t="str">
        <f t="shared" si="479"/>
        <v/>
      </c>
    </row>
    <row r="1585" spans="1:25" hidden="1">
      <c r="A1585" s="155" t="s">
        <v>141</v>
      </c>
      <c r="B1585" s="156" t="s">
        <v>242</v>
      </c>
      <c r="C1585" s="411" t="s">
        <v>160</v>
      </c>
      <c r="D1585" s="351"/>
      <c r="E1585" s="405"/>
      <c r="F1585" s="406"/>
      <c r="G1585" s="158">
        <f>SUM(G1586:G1590)</f>
        <v>347.20151336499998</v>
      </c>
      <c r="H1585" s="465">
        <f>VLOOKUP(C1585,'ENSAIOS DE ORÇAMENTO'!$C$3:$L$79,8,FALSE)</f>
        <v>1934.0035820000001</v>
      </c>
      <c r="I1585" s="465">
        <f>IF(ISBLANK(H1585),"",SUM(G1585:H1585))*0.93</f>
        <v>2121.5207386894504</v>
      </c>
      <c r="J1585" s="407">
        <f t="shared" si="477"/>
        <v>2690.09</v>
      </c>
      <c r="K1585" s="408" t="s">
        <v>23</v>
      </c>
      <c r="L1585" s="152">
        <v>0</v>
      </c>
      <c r="M1585" s="152"/>
      <c r="N1585" s="402">
        <f t="shared" si="488"/>
        <v>0</v>
      </c>
      <c r="O1585" s="402">
        <f t="shared" si="489"/>
        <v>0</v>
      </c>
      <c r="P1585" s="403"/>
      <c r="Q1585" s="152">
        <f t="shared" si="497"/>
        <v>0</v>
      </c>
      <c r="R1585" s="152">
        <f t="shared" si="497"/>
        <v>0</v>
      </c>
      <c r="S1585" s="402">
        <f t="shared" si="490"/>
        <v>0</v>
      </c>
      <c r="T1585" s="404">
        <f t="shared" si="483"/>
        <v>0</v>
      </c>
      <c r="U1585" s="403"/>
      <c r="W1585" s="43" t="str">
        <f t="shared" si="505"/>
        <v/>
      </c>
      <c r="X1585" s="43" t="str">
        <f t="shared" si="484"/>
        <v/>
      </c>
      <c r="Y1585" s="43" t="str">
        <f t="shared" si="479"/>
        <v/>
      </c>
    </row>
    <row r="1586" spans="1:25" hidden="1">
      <c r="A1586" s="155" t="s">
        <v>183</v>
      </c>
      <c r="B1586" s="156"/>
      <c r="C1586" s="411" t="s">
        <v>251</v>
      </c>
      <c r="D1586" s="351"/>
      <c r="E1586" s="405">
        <v>500</v>
      </c>
      <c r="F1586" s="406">
        <f>VLOOKUP(C1585,'ENSAIOS DE ORÇAMENTO'!$C$3:$L$79,4,FALSE)</f>
        <v>0.47459260000000009</v>
      </c>
      <c r="G1586" s="158">
        <f>IF(E1586&lt;=30,(0.42*E1586+3.55)*F1586,((0.42*30+3.55)+0.35*(E1586-30))*F1586)</f>
        <v>85.73515319000002</v>
      </c>
      <c r="H1586" s="465"/>
      <c r="I1586" s="465"/>
      <c r="J1586" s="407">
        <f t="shared" ref="J1586:J1649" si="507">IF(ISBLANK(H1586),0,ROUND(I1586*(1+$E$10)*(1+$E$11*D1586),2))</f>
        <v>0</v>
      </c>
      <c r="K1586" s="408"/>
      <c r="L1586" s="152">
        <v>0</v>
      </c>
      <c r="M1586" s="213"/>
      <c r="N1586" s="402">
        <f t="shared" si="488"/>
        <v>0</v>
      </c>
      <c r="O1586" s="402">
        <f t="shared" si="489"/>
        <v>0</v>
      </c>
      <c r="P1586" s="403"/>
      <c r="Q1586" s="464"/>
      <c r="R1586" s="464"/>
      <c r="S1586" s="402">
        <f t="shared" si="490"/>
        <v>0</v>
      </c>
      <c r="T1586" s="404">
        <f t="shared" si="483"/>
        <v>0</v>
      </c>
      <c r="U1586" s="403"/>
      <c r="V1586" s="160" t="str">
        <f>IF(T1585&gt;0,"xx",IF(O1585&gt;0,"xy",""))</f>
        <v/>
      </c>
      <c r="W1586" s="43" t="str">
        <f t="shared" si="505"/>
        <v/>
      </c>
      <c r="X1586" s="43" t="str">
        <f t="shared" si="484"/>
        <v/>
      </c>
      <c r="Y1586" s="43" t="str">
        <f t="shared" si="479"/>
        <v/>
      </c>
    </row>
    <row r="1587" spans="1:25" hidden="1">
      <c r="A1587" s="155" t="s">
        <v>183</v>
      </c>
      <c r="B1587" s="156"/>
      <c r="C1587" s="411" t="s">
        <v>314</v>
      </c>
      <c r="D1587" s="351"/>
      <c r="E1587" s="405">
        <v>180</v>
      </c>
      <c r="F1587" s="406">
        <f>VLOOKUP(C1585,'ENSAIOS DE ORÇAMENTO'!$C$3:$L$79,5,FALSE)</f>
        <v>1.9746215</v>
      </c>
      <c r="G1587" s="158">
        <f t="shared" ref="G1587:G1589" si="508">IF(E1587&lt;=30,(0.6*E1587+1.25)*F1587,((0.6*30+1.25)+0.5*(E1587-30))*F1587)</f>
        <v>186.108076375</v>
      </c>
      <c r="H1587" s="465"/>
      <c r="I1587" s="465"/>
      <c r="J1587" s="407">
        <f t="shared" si="507"/>
        <v>0</v>
      </c>
      <c r="K1587" s="408"/>
      <c r="L1587" s="152">
        <v>0</v>
      </c>
      <c r="M1587" s="213"/>
      <c r="N1587" s="402">
        <f t="shared" si="488"/>
        <v>0</v>
      </c>
      <c r="O1587" s="402">
        <f t="shared" si="489"/>
        <v>0</v>
      </c>
      <c r="P1587" s="403"/>
      <c r="Q1587" s="464"/>
      <c r="R1587" s="464"/>
      <c r="S1587" s="402">
        <f t="shared" si="490"/>
        <v>0</v>
      </c>
      <c r="T1587" s="404">
        <f t="shared" si="483"/>
        <v>0</v>
      </c>
      <c r="U1587" s="403"/>
      <c r="V1587" s="160" t="str">
        <f>IF(T1585&gt;0,"xx",IF(O1585&gt;0,"xy",""))</f>
        <v/>
      </c>
      <c r="W1587" s="43" t="str">
        <f t="shared" si="505"/>
        <v/>
      </c>
      <c r="X1587" s="43" t="str">
        <f t="shared" si="484"/>
        <v/>
      </c>
      <c r="Y1587" s="43" t="str">
        <f t="shared" si="479"/>
        <v/>
      </c>
    </row>
    <row r="1588" spans="1:25" hidden="1">
      <c r="A1588" s="155" t="s">
        <v>183</v>
      </c>
      <c r="B1588" s="156"/>
      <c r="C1588" s="411" t="s">
        <v>323</v>
      </c>
      <c r="D1588" s="351"/>
      <c r="E1588" s="405">
        <v>20</v>
      </c>
      <c r="F1588" s="406">
        <f>VLOOKUP(C1585,'ENSAIOS DE ORÇAMENTO'!$C$3:$L$79,6,FALSE)</f>
        <v>1.3875000000000002</v>
      </c>
      <c r="G1588" s="158">
        <f t="shared" si="508"/>
        <v>18.384375000000002</v>
      </c>
      <c r="H1588" s="465"/>
      <c r="I1588" s="465"/>
      <c r="J1588" s="407">
        <f t="shared" si="507"/>
        <v>0</v>
      </c>
      <c r="K1588" s="408"/>
      <c r="L1588" s="152">
        <v>0</v>
      </c>
      <c r="M1588" s="213"/>
      <c r="N1588" s="402">
        <f t="shared" si="488"/>
        <v>0</v>
      </c>
      <c r="O1588" s="402">
        <f t="shared" si="489"/>
        <v>0</v>
      </c>
      <c r="P1588" s="403"/>
      <c r="Q1588" s="464"/>
      <c r="R1588" s="464"/>
      <c r="S1588" s="402">
        <f t="shared" si="490"/>
        <v>0</v>
      </c>
      <c r="T1588" s="404">
        <f t="shared" si="483"/>
        <v>0</v>
      </c>
      <c r="U1588" s="403"/>
      <c r="V1588" s="160" t="str">
        <f>IF(T1585&gt;0,"xx",IF(O1585&gt;0,"xy",""))</f>
        <v/>
      </c>
      <c r="W1588" s="43" t="str">
        <f t="shared" si="505"/>
        <v/>
      </c>
      <c r="X1588" s="43" t="str">
        <f t="shared" si="484"/>
        <v/>
      </c>
      <c r="Y1588" s="43" t="str">
        <f t="shared" ref="Y1588:Y1651" si="509">IF(V1588="X","x",IF(T1588&gt;0,"x",""))</f>
        <v/>
      </c>
    </row>
    <row r="1589" spans="1:25" hidden="1">
      <c r="A1589" s="155" t="s">
        <v>183</v>
      </c>
      <c r="B1589" s="156"/>
      <c r="C1589" s="411" t="s">
        <v>511</v>
      </c>
      <c r="D1589" s="351"/>
      <c r="E1589" s="405">
        <v>30</v>
      </c>
      <c r="F1589" s="406">
        <f>VLOOKUP(C1585,'ENSAIOS DE ORÇAMENTO'!$C$3:$L$79,3,FALSE)</f>
        <v>2.2098499999999999</v>
      </c>
      <c r="G1589" s="158">
        <f t="shared" si="508"/>
        <v>42.539612499999997</v>
      </c>
      <c r="H1589" s="465"/>
      <c r="I1589" s="465"/>
      <c r="J1589" s="407">
        <f t="shared" si="507"/>
        <v>0</v>
      </c>
      <c r="K1589" s="408"/>
      <c r="L1589" s="152">
        <v>0</v>
      </c>
      <c r="M1589" s="213"/>
      <c r="N1589" s="402">
        <f t="shared" si="488"/>
        <v>0</v>
      </c>
      <c r="O1589" s="402">
        <f t="shared" si="489"/>
        <v>0</v>
      </c>
      <c r="P1589" s="403"/>
      <c r="Q1589" s="464"/>
      <c r="R1589" s="464"/>
      <c r="S1589" s="402">
        <f t="shared" si="490"/>
        <v>0</v>
      </c>
      <c r="T1589" s="404">
        <f t="shared" si="483"/>
        <v>0</v>
      </c>
      <c r="U1589" s="403"/>
      <c r="V1589" s="160" t="str">
        <f>IF(T1585&gt;0,"xx",IF(O1585&gt;0,"xy",""))</f>
        <v/>
      </c>
      <c r="W1589" s="43" t="str">
        <f t="shared" si="505"/>
        <v/>
      </c>
      <c r="X1589" s="43" t="str">
        <f t="shared" si="484"/>
        <v/>
      </c>
      <c r="Y1589" s="43" t="str">
        <f t="shared" si="509"/>
        <v/>
      </c>
    </row>
    <row r="1590" spans="1:25" hidden="1">
      <c r="A1590" s="155" t="s">
        <v>183</v>
      </c>
      <c r="B1590" s="156"/>
      <c r="C1590" s="411" t="s">
        <v>512</v>
      </c>
      <c r="D1590" s="351"/>
      <c r="E1590" s="405">
        <v>500</v>
      </c>
      <c r="F1590" s="406">
        <f>VLOOKUP(C1585,'ENSAIOS DE ORÇAMENTO'!$C$3:$L$79,10,FALSE)</f>
        <v>7.9902000000000001E-2</v>
      </c>
      <c r="G1590" s="158">
        <f t="shared" ref="G1590" si="510">IF(E1590&lt;=30,(0.42*E1590+3.55)*F1590,((0.42*30+3.55)+0.35*(E1590-30))*F1590)</f>
        <v>14.4342963</v>
      </c>
      <c r="H1590" s="465"/>
      <c r="I1590" s="465"/>
      <c r="J1590" s="407">
        <f t="shared" si="507"/>
        <v>0</v>
      </c>
      <c r="K1590" s="408"/>
      <c r="L1590" s="152">
        <v>0</v>
      </c>
      <c r="M1590" s="213"/>
      <c r="N1590" s="402">
        <f t="shared" si="488"/>
        <v>0</v>
      </c>
      <c r="O1590" s="402">
        <f t="shared" si="489"/>
        <v>0</v>
      </c>
      <c r="P1590" s="403"/>
      <c r="Q1590" s="464"/>
      <c r="R1590" s="464"/>
      <c r="S1590" s="402">
        <f t="shared" si="490"/>
        <v>0</v>
      </c>
      <c r="T1590" s="404">
        <f t="shared" si="483"/>
        <v>0</v>
      </c>
      <c r="U1590" s="403"/>
      <c r="V1590" s="160" t="str">
        <f>IF(T1585&gt;0,"xx",IF(O1585&gt;0,"xy",""))</f>
        <v/>
      </c>
      <c r="W1590" s="43" t="str">
        <f t="shared" si="505"/>
        <v/>
      </c>
      <c r="X1590" s="43" t="str">
        <f t="shared" si="484"/>
        <v/>
      </c>
      <c r="Y1590" s="43" t="str">
        <f t="shared" si="509"/>
        <v/>
      </c>
    </row>
    <row r="1591" spans="1:25" hidden="1">
      <c r="A1591" s="155" t="s">
        <v>145</v>
      </c>
      <c r="B1591" s="156" t="s">
        <v>242</v>
      </c>
      <c r="C1591" s="411" t="s">
        <v>161</v>
      </c>
      <c r="D1591" s="351"/>
      <c r="E1591" s="405"/>
      <c r="F1591" s="406"/>
      <c r="G1591" s="158">
        <f>SUM(G1592:G1596)</f>
        <v>251.59781250000003</v>
      </c>
      <c r="H1591" s="465">
        <f>VLOOKUP(C1591,'ENSAIOS DE ORÇAMENTO'!$C$3:$L$79,8,FALSE)</f>
        <v>1006.10645</v>
      </c>
      <c r="I1591" s="465">
        <f>IF(ISBLANK(H1591),"",SUM(G1591:H1591))*0.9</f>
        <v>1131.93383625</v>
      </c>
      <c r="J1591" s="407">
        <f t="shared" si="507"/>
        <v>1435.29</v>
      </c>
      <c r="K1591" s="408" t="s">
        <v>23</v>
      </c>
      <c r="L1591" s="152"/>
      <c r="M1591" s="152"/>
      <c r="N1591" s="402">
        <f t="shared" si="488"/>
        <v>0</v>
      </c>
      <c r="O1591" s="402">
        <f t="shared" si="489"/>
        <v>0</v>
      </c>
      <c r="P1591" s="403"/>
      <c r="Q1591" s="152">
        <f t="shared" si="497"/>
        <v>0</v>
      </c>
      <c r="R1591" s="152">
        <f t="shared" si="497"/>
        <v>0</v>
      </c>
      <c r="S1591" s="402">
        <f t="shared" si="490"/>
        <v>0</v>
      </c>
      <c r="T1591" s="404">
        <f t="shared" si="483"/>
        <v>0</v>
      </c>
      <c r="U1591" s="403"/>
      <c r="W1591" s="43" t="str">
        <f t="shared" si="505"/>
        <v/>
      </c>
      <c r="X1591" s="43" t="str">
        <f t="shared" si="484"/>
        <v/>
      </c>
      <c r="Y1591" s="43" t="str">
        <f t="shared" si="509"/>
        <v/>
      </c>
    </row>
    <row r="1592" spans="1:25" hidden="1">
      <c r="A1592" s="155" t="s">
        <v>183</v>
      </c>
      <c r="B1592" s="156"/>
      <c r="C1592" s="411" t="s">
        <v>251</v>
      </c>
      <c r="D1592" s="351"/>
      <c r="E1592" s="405">
        <v>530</v>
      </c>
      <c r="F1592" s="406">
        <f>VLOOKUP(C1591,'ENSAIOS DE ORÇAMENTO'!$C$3:$L$79,4,FALSE)</f>
        <v>0.38540000000000008</v>
      </c>
      <c r="G1592" s="158">
        <f>IF(E1592&lt;=30,(0.42*E1592+3.55)*F1592,((0.42*30+3.55)+0.35*(E1592-30))*F1592)</f>
        <v>73.669210000000021</v>
      </c>
      <c r="H1592" s="465"/>
      <c r="I1592" s="465"/>
      <c r="J1592" s="407">
        <f t="shared" si="507"/>
        <v>0</v>
      </c>
      <c r="K1592" s="408"/>
      <c r="L1592" s="152">
        <v>0</v>
      </c>
      <c r="M1592" s="213"/>
      <c r="N1592" s="402">
        <f t="shared" si="488"/>
        <v>0</v>
      </c>
      <c r="O1592" s="402">
        <f t="shared" si="489"/>
        <v>0</v>
      </c>
      <c r="P1592" s="403"/>
      <c r="Q1592" s="464"/>
      <c r="R1592" s="464"/>
      <c r="S1592" s="402">
        <f t="shared" si="490"/>
        <v>0</v>
      </c>
      <c r="T1592" s="404">
        <f t="shared" si="483"/>
        <v>0</v>
      </c>
      <c r="U1592" s="403"/>
      <c r="V1592" s="160" t="str">
        <f>IF(T1591&gt;0,"xx",IF(O1591&gt;0,"xy",""))</f>
        <v/>
      </c>
      <c r="W1592" s="43" t="str">
        <f t="shared" si="505"/>
        <v/>
      </c>
      <c r="X1592" s="43" t="str">
        <f t="shared" si="484"/>
        <v/>
      </c>
      <c r="Y1592" s="43" t="str">
        <f t="shared" si="509"/>
        <v/>
      </c>
    </row>
    <row r="1593" spans="1:25" hidden="1">
      <c r="A1593" s="155" t="s">
        <v>183</v>
      </c>
      <c r="B1593" s="156"/>
      <c r="C1593" s="411" t="s">
        <v>314</v>
      </c>
      <c r="D1593" s="351"/>
      <c r="E1593" s="405">
        <v>270</v>
      </c>
      <c r="F1593" s="406">
        <f>VLOOKUP(C1591,'ENSAIOS DE ORÇAMENTO'!$C$3:$L$79,5,FALSE)</f>
        <v>1.1483800000000002</v>
      </c>
      <c r="G1593" s="158">
        <f t="shared" ref="G1593:G1595" si="511">IF(E1593&lt;=30,(0.6*E1593+1.25)*F1593,((0.6*30+1.25)+0.5*(E1593-30))*F1593)</f>
        <v>159.91191500000002</v>
      </c>
      <c r="H1593" s="465"/>
      <c r="I1593" s="465"/>
      <c r="J1593" s="407">
        <f t="shared" si="507"/>
        <v>0</v>
      </c>
      <c r="K1593" s="408"/>
      <c r="L1593" s="152">
        <v>0</v>
      </c>
      <c r="M1593" s="213"/>
      <c r="N1593" s="402">
        <f t="shared" si="488"/>
        <v>0</v>
      </c>
      <c r="O1593" s="402">
        <f t="shared" si="489"/>
        <v>0</v>
      </c>
      <c r="P1593" s="403"/>
      <c r="Q1593" s="464"/>
      <c r="R1593" s="464"/>
      <c r="S1593" s="402">
        <f t="shared" si="490"/>
        <v>0</v>
      </c>
      <c r="T1593" s="404">
        <f t="shared" si="483"/>
        <v>0</v>
      </c>
      <c r="U1593" s="403"/>
      <c r="V1593" s="160" t="str">
        <f>IF(T1591&gt;0,"xx",IF(O1591&gt;0,"xy",""))</f>
        <v/>
      </c>
      <c r="W1593" s="43" t="str">
        <f t="shared" si="505"/>
        <v/>
      </c>
      <c r="X1593" s="43" t="str">
        <f t="shared" si="484"/>
        <v/>
      </c>
      <c r="Y1593" s="43" t="str">
        <f t="shared" si="509"/>
        <v/>
      </c>
    </row>
    <row r="1594" spans="1:25" hidden="1">
      <c r="A1594" s="155" t="s">
        <v>183</v>
      </c>
      <c r="B1594" s="156"/>
      <c r="C1594" s="411" t="s">
        <v>323</v>
      </c>
      <c r="D1594" s="351"/>
      <c r="E1594" s="405">
        <v>20</v>
      </c>
      <c r="F1594" s="406">
        <f>VLOOKUP(C1591,'ENSAIOS DE ORÇAMENTO'!$C$3:$L$79,6,FALSE)</f>
        <v>1.35975</v>
      </c>
      <c r="G1594" s="158">
        <f t="shared" si="511"/>
        <v>18.0166875</v>
      </c>
      <c r="H1594" s="465"/>
      <c r="I1594" s="465"/>
      <c r="J1594" s="407">
        <f t="shared" si="507"/>
        <v>0</v>
      </c>
      <c r="K1594" s="408"/>
      <c r="L1594" s="152">
        <v>0</v>
      </c>
      <c r="M1594" s="213"/>
      <c r="N1594" s="402">
        <f t="shared" si="488"/>
        <v>0</v>
      </c>
      <c r="O1594" s="402">
        <f t="shared" si="489"/>
        <v>0</v>
      </c>
      <c r="P1594" s="403"/>
      <c r="Q1594" s="464"/>
      <c r="R1594" s="464"/>
      <c r="S1594" s="402">
        <f t="shared" si="490"/>
        <v>0</v>
      </c>
      <c r="T1594" s="404">
        <f t="shared" si="483"/>
        <v>0</v>
      </c>
      <c r="U1594" s="403"/>
      <c r="V1594" s="160" t="str">
        <f>IF(T1591&gt;0,"xx",IF(O1591&gt;0,"xy",""))</f>
        <v/>
      </c>
      <c r="W1594" s="43" t="str">
        <f t="shared" si="505"/>
        <v/>
      </c>
      <c r="X1594" s="43" t="str">
        <f t="shared" si="484"/>
        <v/>
      </c>
      <c r="Y1594" s="43" t="str">
        <f t="shared" si="509"/>
        <v/>
      </c>
    </row>
    <row r="1595" spans="1:25" hidden="1">
      <c r="A1595" s="155" t="s">
        <v>183</v>
      </c>
      <c r="B1595" s="156"/>
      <c r="C1595" s="411" t="s">
        <v>511</v>
      </c>
      <c r="D1595" s="351"/>
      <c r="E1595" s="405">
        <v>30</v>
      </c>
      <c r="F1595" s="406">
        <f>VLOOKUP(C1591,'ENSAIOS DE ORÇAMENTO'!$C$3:$L$79,3,FALSE)</f>
        <v>0</v>
      </c>
      <c r="G1595" s="158">
        <f t="shared" si="511"/>
        <v>0</v>
      </c>
      <c r="H1595" s="465"/>
      <c r="I1595" s="465"/>
      <c r="J1595" s="407">
        <f t="shared" si="507"/>
        <v>0</v>
      </c>
      <c r="K1595" s="408"/>
      <c r="L1595" s="152">
        <v>0</v>
      </c>
      <c r="M1595" s="213"/>
      <c r="N1595" s="402">
        <f t="shared" si="488"/>
        <v>0</v>
      </c>
      <c r="O1595" s="402">
        <f t="shared" si="489"/>
        <v>0</v>
      </c>
      <c r="P1595" s="403"/>
      <c r="Q1595" s="464"/>
      <c r="R1595" s="464"/>
      <c r="S1595" s="402">
        <f t="shared" si="490"/>
        <v>0</v>
      </c>
      <c r="T1595" s="404">
        <f t="shared" si="483"/>
        <v>0</v>
      </c>
      <c r="U1595" s="403"/>
      <c r="V1595" s="160" t="str">
        <f>IF(T1591&gt;0,"xx",IF(O1591&gt;0,"xy",""))</f>
        <v/>
      </c>
      <c r="W1595" s="43" t="str">
        <f t="shared" si="505"/>
        <v/>
      </c>
      <c r="X1595" s="43" t="str">
        <f t="shared" si="484"/>
        <v/>
      </c>
      <c r="Y1595" s="43" t="str">
        <f t="shared" si="509"/>
        <v/>
      </c>
    </row>
    <row r="1596" spans="1:25" hidden="1">
      <c r="A1596" s="155" t="s">
        <v>183</v>
      </c>
      <c r="B1596" s="156"/>
      <c r="C1596" s="411" t="s">
        <v>512</v>
      </c>
      <c r="D1596" s="351"/>
      <c r="E1596" s="405">
        <v>500</v>
      </c>
      <c r="F1596" s="406">
        <f>VLOOKUP(C1591,'ENSAIOS DE ORÇAMENTO'!$C$3:$L$79,10,FALSE)</f>
        <v>0</v>
      </c>
      <c r="G1596" s="158">
        <f t="shared" ref="G1596" si="512">IF(E1596&lt;=30,(0.42*E1596+3.55)*F1596,((0.42*30+3.55)+0.35*(E1596-30))*F1596)</f>
        <v>0</v>
      </c>
      <c r="H1596" s="465"/>
      <c r="I1596" s="465"/>
      <c r="J1596" s="407">
        <f t="shared" si="507"/>
        <v>0</v>
      </c>
      <c r="K1596" s="408"/>
      <c r="L1596" s="152">
        <v>0</v>
      </c>
      <c r="M1596" s="213"/>
      <c r="N1596" s="402">
        <f t="shared" si="488"/>
        <v>0</v>
      </c>
      <c r="O1596" s="402">
        <f t="shared" si="489"/>
        <v>0</v>
      </c>
      <c r="P1596" s="403"/>
      <c r="Q1596" s="464"/>
      <c r="R1596" s="464"/>
      <c r="S1596" s="402">
        <f t="shared" si="490"/>
        <v>0</v>
      </c>
      <c r="T1596" s="404">
        <f t="shared" si="483"/>
        <v>0</v>
      </c>
      <c r="U1596" s="403"/>
      <c r="V1596" s="160" t="str">
        <f>IF(T1591&gt;0,"xx",IF(O1591&gt;0,"xy",""))</f>
        <v/>
      </c>
      <c r="W1596" s="43" t="str">
        <f t="shared" si="505"/>
        <v/>
      </c>
      <c r="X1596" s="43" t="str">
        <f t="shared" si="484"/>
        <v/>
      </c>
      <c r="Y1596" s="43" t="str">
        <f t="shared" si="509"/>
        <v/>
      </c>
    </row>
    <row r="1597" spans="1:25" hidden="1">
      <c r="A1597" s="155" t="s">
        <v>146</v>
      </c>
      <c r="B1597" s="156" t="s">
        <v>242</v>
      </c>
      <c r="C1597" s="411" t="s">
        <v>162</v>
      </c>
      <c r="D1597" s="351"/>
      <c r="E1597" s="405"/>
      <c r="F1597" s="406"/>
      <c r="G1597" s="158">
        <f>SUM(G1598:G1602)</f>
        <v>220.04294999999999</v>
      </c>
      <c r="H1597" s="465">
        <f>VLOOKUP(C1597,'ENSAIOS DE ORÇAMENTO'!$C$3:$L$79,8,FALSE)</f>
        <v>1075.58545</v>
      </c>
      <c r="I1597" s="465">
        <f>IF(ISBLANK(H1597),"",SUM(G1597:H1597))*0.9</f>
        <v>1166.06556</v>
      </c>
      <c r="J1597" s="407">
        <f t="shared" si="507"/>
        <v>1478.57</v>
      </c>
      <c r="K1597" s="408" t="s">
        <v>23</v>
      </c>
      <c r="L1597" s="152">
        <v>0</v>
      </c>
      <c r="M1597" s="152"/>
      <c r="N1597" s="402">
        <f t="shared" si="488"/>
        <v>0</v>
      </c>
      <c r="O1597" s="402">
        <f t="shared" si="489"/>
        <v>0</v>
      </c>
      <c r="P1597" s="403"/>
      <c r="Q1597" s="152">
        <f t="shared" si="497"/>
        <v>0</v>
      </c>
      <c r="R1597" s="152">
        <f t="shared" si="497"/>
        <v>0</v>
      </c>
      <c r="S1597" s="402">
        <f t="shared" si="490"/>
        <v>0</v>
      </c>
      <c r="T1597" s="404">
        <f t="shared" ref="T1597:T1660" si="513">IF(ISBLANK(Q1597),0,ROUND(Q1597*R1597,2))</f>
        <v>0</v>
      </c>
      <c r="U1597" s="403"/>
      <c r="W1597" s="43" t="str">
        <f t="shared" si="505"/>
        <v/>
      </c>
      <c r="X1597" s="43" t="str">
        <f t="shared" si="484"/>
        <v/>
      </c>
      <c r="Y1597" s="43" t="str">
        <f t="shared" si="509"/>
        <v/>
      </c>
    </row>
    <row r="1598" spans="1:25" hidden="1">
      <c r="A1598" s="155" t="s">
        <v>183</v>
      </c>
      <c r="B1598" s="156"/>
      <c r="C1598" s="411" t="s">
        <v>251</v>
      </c>
      <c r="D1598" s="351"/>
      <c r="E1598" s="405">
        <v>500</v>
      </c>
      <c r="F1598" s="406">
        <f>VLOOKUP(C1597,'ENSAIOS DE ORÇAMENTO'!$C$3:$L$79,4,FALSE)</f>
        <v>0.43490000000000006</v>
      </c>
      <c r="G1598" s="158">
        <f>IF(E1598&lt;=30,(0.42*E1598+3.55)*F1598,((0.42*30+3.55)+0.35*(E1598-30))*F1598)</f>
        <v>78.564685000000011</v>
      </c>
      <c r="H1598" s="465"/>
      <c r="I1598" s="465"/>
      <c r="J1598" s="407">
        <f t="shared" si="507"/>
        <v>0</v>
      </c>
      <c r="K1598" s="408"/>
      <c r="L1598" s="152">
        <v>0</v>
      </c>
      <c r="M1598" s="213"/>
      <c r="N1598" s="402">
        <f t="shared" si="488"/>
        <v>0</v>
      </c>
      <c r="O1598" s="402">
        <f t="shared" si="489"/>
        <v>0</v>
      </c>
      <c r="P1598" s="403"/>
      <c r="Q1598" s="464"/>
      <c r="R1598" s="464"/>
      <c r="S1598" s="402">
        <f t="shared" si="490"/>
        <v>0</v>
      </c>
      <c r="T1598" s="404">
        <f t="shared" si="513"/>
        <v>0</v>
      </c>
      <c r="U1598" s="403"/>
      <c r="V1598" s="160" t="str">
        <f>IF(T1597&gt;0,"xx",IF(O1597&gt;0,"xy",""))</f>
        <v/>
      </c>
      <c r="W1598" s="43" t="str">
        <f t="shared" si="505"/>
        <v/>
      </c>
      <c r="X1598" s="43" t="str">
        <f t="shared" si="484"/>
        <v/>
      </c>
      <c r="Y1598" s="43" t="str">
        <f t="shared" si="509"/>
        <v/>
      </c>
    </row>
    <row r="1599" spans="1:25" hidden="1">
      <c r="A1599" s="155" t="s">
        <v>183</v>
      </c>
      <c r="B1599" s="156"/>
      <c r="C1599" s="411" t="s">
        <v>314</v>
      </c>
      <c r="D1599" s="351"/>
      <c r="E1599" s="405">
        <v>180</v>
      </c>
      <c r="F1599" s="406">
        <f>VLOOKUP(C1597,'ENSAIOS DE ORÇAMENTO'!$C$3:$L$79,5,FALSE)</f>
        <v>1.28653</v>
      </c>
      <c r="G1599" s="158">
        <f t="shared" ref="G1599:G1601" si="514">IF(E1599&lt;=30,(0.6*E1599+1.25)*F1599,((0.6*30+1.25)+0.5*(E1599-30))*F1599)</f>
        <v>121.25545249999999</v>
      </c>
      <c r="H1599" s="465"/>
      <c r="I1599" s="465"/>
      <c r="J1599" s="407">
        <f t="shared" si="507"/>
        <v>0</v>
      </c>
      <c r="K1599" s="408"/>
      <c r="L1599" s="152">
        <v>0</v>
      </c>
      <c r="M1599" s="213"/>
      <c r="N1599" s="402">
        <f t="shared" si="488"/>
        <v>0</v>
      </c>
      <c r="O1599" s="402">
        <f t="shared" si="489"/>
        <v>0</v>
      </c>
      <c r="P1599" s="403"/>
      <c r="Q1599" s="464"/>
      <c r="R1599" s="464"/>
      <c r="S1599" s="402">
        <f t="shared" si="490"/>
        <v>0</v>
      </c>
      <c r="T1599" s="404">
        <f t="shared" si="513"/>
        <v>0</v>
      </c>
      <c r="U1599" s="403"/>
      <c r="V1599" s="160" t="str">
        <f>IF(T1597&gt;0,"xx",IF(O1597&gt;0,"xy",""))</f>
        <v/>
      </c>
      <c r="W1599" s="43" t="str">
        <f t="shared" si="505"/>
        <v/>
      </c>
      <c r="X1599" s="43" t="str">
        <f t="shared" ref="X1599:X1662" si="515">IF(V1599="X","x",IF(V1599="y","x",IF(V1599="xx","x",IF(T1599&gt;0,"x",""))))</f>
        <v/>
      </c>
      <c r="Y1599" s="43" t="str">
        <f t="shared" si="509"/>
        <v/>
      </c>
    </row>
    <row r="1600" spans="1:25" hidden="1">
      <c r="A1600" s="155" t="s">
        <v>183</v>
      </c>
      <c r="B1600" s="156"/>
      <c r="C1600" s="411" t="s">
        <v>323</v>
      </c>
      <c r="D1600" s="351"/>
      <c r="E1600" s="405">
        <v>20</v>
      </c>
      <c r="F1600" s="406">
        <f>VLOOKUP(C1597,'ENSAIOS DE ORÇAMENTO'!$C$3:$L$79,6,FALSE)</f>
        <v>1.5262500000000001</v>
      </c>
      <c r="G1600" s="158">
        <f t="shared" si="514"/>
        <v>20.2228125</v>
      </c>
      <c r="H1600" s="465"/>
      <c r="I1600" s="465"/>
      <c r="J1600" s="407">
        <f t="shared" si="507"/>
        <v>0</v>
      </c>
      <c r="K1600" s="408"/>
      <c r="L1600" s="152">
        <v>0</v>
      </c>
      <c r="M1600" s="213"/>
      <c r="N1600" s="402">
        <f t="shared" si="488"/>
        <v>0</v>
      </c>
      <c r="O1600" s="402">
        <f t="shared" si="489"/>
        <v>0</v>
      </c>
      <c r="P1600" s="403"/>
      <c r="Q1600" s="464"/>
      <c r="R1600" s="464"/>
      <c r="S1600" s="402">
        <f t="shared" si="490"/>
        <v>0</v>
      </c>
      <c r="T1600" s="404">
        <f t="shared" si="513"/>
        <v>0</v>
      </c>
      <c r="U1600" s="403"/>
      <c r="V1600" s="160" t="str">
        <f>IF(T1597&gt;0,"xx",IF(O1597&gt;0,"xy",""))</f>
        <v/>
      </c>
      <c r="W1600" s="43" t="str">
        <f t="shared" si="505"/>
        <v/>
      </c>
      <c r="X1600" s="43" t="str">
        <f t="shared" si="515"/>
        <v/>
      </c>
      <c r="Y1600" s="43" t="str">
        <f t="shared" si="509"/>
        <v/>
      </c>
    </row>
    <row r="1601" spans="1:25" hidden="1">
      <c r="A1601" s="155" t="s">
        <v>183</v>
      </c>
      <c r="B1601" s="156"/>
      <c r="C1601" s="411" t="s">
        <v>511</v>
      </c>
      <c r="D1601" s="351"/>
      <c r="E1601" s="405">
        <v>30</v>
      </c>
      <c r="F1601" s="406">
        <f>VLOOKUP(C1597,'ENSAIOS DE ORÇAMENTO'!$C$3:$L$79,3,FALSE)</f>
        <v>0</v>
      </c>
      <c r="G1601" s="158">
        <f t="shared" si="514"/>
        <v>0</v>
      </c>
      <c r="H1601" s="465"/>
      <c r="I1601" s="465"/>
      <c r="J1601" s="407">
        <f t="shared" si="507"/>
        <v>0</v>
      </c>
      <c r="K1601" s="408"/>
      <c r="L1601" s="152">
        <v>0</v>
      </c>
      <c r="M1601" s="213"/>
      <c r="N1601" s="402">
        <f t="shared" si="488"/>
        <v>0</v>
      </c>
      <c r="O1601" s="402">
        <f t="shared" si="489"/>
        <v>0</v>
      </c>
      <c r="P1601" s="403"/>
      <c r="Q1601" s="464"/>
      <c r="R1601" s="464"/>
      <c r="S1601" s="402">
        <f t="shared" si="490"/>
        <v>0</v>
      </c>
      <c r="T1601" s="404">
        <f t="shared" si="513"/>
        <v>0</v>
      </c>
      <c r="U1601" s="403"/>
      <c r="V1601" s="160" t="str">
        <f>IF(T1597&gt;0,"xx",IF(O1597&gt;0,"xy",""))</f>
        <v/>
      </c>
      <c r="W1601" s="43" t="str">
        <f t="shared" si="505"/>
        <v/>
      </c>
      <c r="X1601" s="43" t="str">
        <f t="shared" si="515"/>
        <v/>
      </c>
      <c r="Y1601" s="43" t="str">
        <f t="shared" si="509"/>
        <v/>
      </c>
    </row>
    <row r="1602" spans="1:25" hidden="1">
      <c r="A1602" s="155" t="s">
        <v>183</v>
      </c>
      <c r="B1602" s="156"/>
      <c r="C1602" s="411" t="s">
        <v>512</v>
      </c>
      <c r="D1602" s="351"/>
      <c r="E1602" s="405">
        <v>500</v>
      </c>
      <c r="F1602" s="406">
        <f>VLOOKUP(C1597,'ENSAIOS DE ORÇAMENTO'!$C$3:$L$79,10,FALSE)</f>
        <v>0</v>
      </c>
      <c r="G1602" s="158">
        <f t="shared" ref="G1602" si="516">IF(E1602&lt;=30,(0.42*E1602+3.55)*F1602,((0.42*30+3.55)+0.35*(E1602-30))*F1602)</f>
        <v>0</v>
      </c>
      <c r="H1602" s="465"/>
      <c r="I1602" s="465"/>
      <c r="J1602" s="407">
        <f t="shared" si="507"/>
        <v>0</v>
      </c>
      <c r="K1602" s="408"/>
      <c r="L1602" s="152">
        <v>0</v>
      </c>
      <c r="M1602" s="213"/>
      <c r="N1602" s="402">
        <f t="shared" si="488"/>
        <v>0</v>
      </c>
      <c r="O1602" s="402">
        <f t="shared" si="489"/>
        <v>0</v>
      </c>
      <c r="P1602" s="403"/>
      <c r="Q1602" s="464"/>
      <c r="R1602" s="464"/>
      <c r="S1602" s="402">
        <f t="shared" si="490"/>
        <v>0</v>
      </c>
      <c r="T1602" s="404">
        <f t="shared" si="513"/>
        <v>0</v>
      </c>
      <c r="U1602" s="403"/>
      <c r="V1602" s="160" t="str">
        <f>IF(T1597&gt;0,"xx",IF(O1597&gt;0,"xy",""))</f>
        <v/>
      </c>
      <c r="W1602" s="43" t="str">
        <f t="shared" si="505"/>
        <v/>
      </c>
      <c r="X1602" s="43" t="str">
        <f t="shared" si="515"/>
        <v/>
      </c>
      <c r="Y1602" s="43" t="str">
        <f t="shared" si="509"/>
        <v/>
      </c>
    </row>
    <row r="1603" spans="1:25" hidden="1">
      <c r="A1603" s="155" t="s">
        <v>147</v>
      </c>
      <c r="B1603" s="156" t="s">
        <v>242</v>
      </c>
      <c r="C1603" s="411" t="s">
        <v>163</v>
      </c>
      <c r="D1603" s="351"/>
      <c r="E1603" s="405"/>
      <c r="F1603" s="406"/>
      <c r="G1603" s="158">
        <f>SUM(G1604:G1608)</f>
        <v>255.490725</v>
      </c>
      <c r="H1603" s="465">
        <f>VLOOKUP(C1603,'ENSAIOS DE ORÇAMENTO'!$C$3:$L$79,8,FALSE)</f>
        <v>1178.0726500000001</v>
      </c>
      <c r="I1603" s="465">
        <f>IF(ISBLANK(H1603),"",SUM(G1603:H1603))*0.9</f>
        <v>1290.2070375000003</v>
      </c>
      <c r="J1603" s="407">
        <f t="shared" si="507"/>
        <v>1635.98</v>
      </c>
      <c r="K1603" s="408" t="s">
        <v>23</v>
      </c>
      <c r="L1603" s="152">
        <v>0</v>
      </c>
      <c r="M1603" s="152"/>
      <c r="N1603" s="402">
        <f t="shared" si="488"/>
        <v>0</v>
      </c>
      <c r="O1603" s="402">
        <f t="shared" si="489"/>
        <v>0</v>
      </c>
      <c r="P1603" s="403"/>
      <c r="Q1603" s="152">
        <f t="shared" si="497"/>
        <v>0</v>
      </c>
      <c r="R1603" s="152">
        <f t="shared" si="497"/>
        <v>0</v>
      </c>
      <c r="S1603" s="402">
        <f t="shared" si="490"/>
        <v>0</v>
      </c>
      <c r="T1603" s="404">
        <f t="shared" si="513"/>
        <v>0</v>
      </c>
      <c r="U1603" s="403"/>
      <c r="W1603" s="43" t="str">
        <f t="shared" si="505"/>
        <v/>
      </c>
      <c r="X1603" s="43" t="str">
        <f t="shared" si="515"/>
        <v/>
      </c>
      <c r="Y1603" s="43" t="str">
        <f t="shared" si="509"/>
        <v/>
      </c>
    </row>
    <row r="1604" spans="1:25" hidden="1">
      <c r="A1604" s="155" t="s">
        <v>183</v>
      </c>
      <c r="B1604" s="156"/>
      <c r="C1604" s="411" t="s">
        <v>251</v>
      </c>
      <c r="D1604" s="351"/>
      <c r="E1604" s="405">
        <v>500</v>
      </c>
      <c r="F1604" s="406">
        <f>VLOOKUP(C1603,'ENSAIOS DE ORÇAMENTO'!$C$3:$L$79,4,FALSE)</f>
        <v>0.50749999999999995</v>
      </c>
      <c r="G1604" s="158">
        <f>IF(E1604&lt;=30,(0.42*E1604+3.55)*F1604,((0.42*30+3.55)+0.35*(E1604-30))*F1604)</f>
        <v>91.679874999999996</v>
      </c>
      <c r="H1604" s="465"/>
      <c r="I1604" s="465"/>
      <c r="J1604" s="407">
        <f t="shared" si="507"/>
        <v>0</v>
      </c>
      <c r="K1604" s="408"/>
      <c r="L1604" s="152">
        <v>0</v>
      </c>
      <c r="M1604" s="213"/>
      <c r="N1604" s="402">
        <f t="shared" si="488"/>
        <v>0</v>
      </c>
      <c r="O1604" s="402">
        <f t="shared" si="489"/>
        <v>0</v>
      </c>
      <c r="P1604" s="403"/>
      <c r="Q1604" s="464"/>
      <c r="R1604" s="464"/>
      <c r="S1604" s="402">
        <f t="shared" si="490"/>
        <v>0</v>
      </c>
      <c r="T1604" s="404">
        <f t="shared" si="513"/>
        <v>0</v>
      </c>
      <c r="U1604" s="403"/>
      <c r="V1604" s="160" t="str">
        <f>IF(T1603&gt;0,"xx",IF(O1603&gt;0,"xy",""))</f>
        <v/>
      </c>
      <c r="W1604" s="43" t="str">
        <f t="shared" si="505"/>
        <v/>
      </c>
      <c r="X1604" s="43" t="str">
        <f t="shared" si="515"/>
        <v/>
      </c>
      <c r="Y1604" s="43" t="str">
        <f t="shared" si="509"/>
        <v/>
      </c>
    </row>
    <row r="1605" spans="1:25" hidden="1">
      <c r="A1605" s="155" t="s">
        <v>183</v>
      </c>
      <c r="B1605" s="156"/>
      <c r="C1605" s="411" t="s">
        <v>314</v>
      </c>
      <c r="D1605" s="351"/>
      <c r="E1605" s="405">
        <v>180</v>
      </c>
      <c r="F1605" s="406">
        <f>VLOOKUP(C1603,'ENSAIOS DE ORÇAMENTO'!$C$3:$L$79,5,FALSE)</f>
        <v>1.48915</v>
      </c>
      <c r="G1605" s="158">
        <f t="shared" ref="G1605:G1607" si="517">IF(E1605&lt;=30,(0.6*E1605+1.25)*F1605,((0.6*30+1.25)+0.5*(E1605-30))*F1605)</f>
        <v>140.35238749999999</v>
      </c>
      <c r="H1605" s="465"/>
      <c r="I1605" s="465"/>
      <c r="J1605" s="407">
        <f t="shared" si="507"/>
        <v>0</v>
      </c>
      <c r="K1605" s="408"/>
      <c r="L1605" s="152">
        <v>0</v>
      </c>
      <c r="M1605" s="213"/>
      <c r="N1605" s="402">
        <f t="shared" si="488"/>
        <v>0</v>
      </c>
      <c r="O1605" s="402">
        <f t="shared" si="489"/>
        <v>0</v>
      </c>
      <c r="P1605" s="403"/>
      <c r="Q1605" s="464"/>
      <c r="R1605" s="464"/>
      <c r="S1605" s="402">
        <f t="shared" si="490"/>
        <v>0</v>
      </c>
      <c r="T1605" s="404">
        <f t="shared" si="513"/>
        <v>0</v>
      </c>
      <c r="U1605" s="403"/>
      <c r="V1605" s="160" t="str">
        <f>IF(T1603&gt;0,"xx",IF(O1603&gt;0,"xy",""))</f>
        <v/>
      </c>
      <c r="W1605" s="43" t="str">
        <f t="shared" si="505"/>
        <v/>
      </c>
      <c r="X1605" s="43" t="str">
        <f t="shared" si="515"/>
        <v/>
      </c>
      <c r="Y1605" s="43" t="str">
        <f t="shared" si="509"/>
        <v/>
      </c>
    </row>
    <row r="1606" spans="1:25" hidden="1">
      <c r="A1606" s="155" t="s">
        <v>183</v>
      </c>
      <c r="B1606" s="156"/>
      <c r="C1606" s="411" t="s">
        <v>323</v>
      </c>
      <c r="D1606" s="351"/>
      <c r="E1606" s="405">
        <v>20</v>
      </c>
      <c r="F1606" s="406">
        <f>VLOOKUP(C1603,'ENSAIOS DE ORÇAMENTO'!$C$3:$L$79,6,FALSE)</f>
        <v>1.7704500000000001</v>
      </c>
      <c r="G1606" s="158">
        <f t="shared" si="517"/>
        <v>23.4584625</v>
      </c>
      <c r="H1606" s="465"/>
      <c r="I1606" s="465"/>
      <c r="J1606" s="407">
        <f t="shared" si="507"/>
        <v>0</v>
      </c>
      <c r="K1606" s="408"/>
      <c r="L1606" s="152">
        <v>0</v>
      </c>
      <c r="M1606" s="213"/>
      <c r="N1606" s="402">
        <f t="shared" ref="N1606:N1669" si="518">IF(ISBLANK(L1606),0,ROUND(J1606*L1606,2))</f>
        <v>0</v>
      </c>
      <c r="O1606" s="402">
        <f t="shared" ref="O1606:O1669" si="519">IF(ISBLANK(M1606),0,ROUND(L1606*M1606,2))</f>
        <v>0</v>
      </c>
      <c r="P1606" s="403"/>
      <c r="Q1606" s="464"/>
      <c r="R1606" s="464"/>
      <c r="S1606" s="402">
        <f t="shared" ref="S1606:S1669" si="520">IF(ISBLANK(Q1606),0,ROUND(J1606*Q1606,2))</f>
        <v>0</v>
      </c>
      <c r="T1606" s="404">
        <f t="shared" si="513"/>
        <v>0</v>
      </c>
      <c r="U1606" s="403"/>
      <c r="V1606" s="160" t="str">
        <f>IF(T1603&gt;0,"xx",IF(O1603&gt;0,"xy",""))</f>
        <v/>
      </c>
      <c r="W1606" s="43" t="str">
        <f t="shared" si="505"/>
        <v/>
      </c>
      <c r="X1606" s="43" t="str">
        <f t="shared" si="515"/>
        <v/>
      </c>
      <c r="Y1606" s="43" t="str">
        <f t="shared" si="509"/>
        <v/>
      </c>
    </row>
    <row r="1607" spans="1:25" hidden="1">
      <c r="A1607" s="155" t="s">
        <v>183</v>
      </c>
      <c r="B1607" s="156"/>
      <c r="C1607" s="411" t="s">
        <v>511</v>
      </c>
      <c r="D1607" s="351"/>
      <c r="E1607" s="405">
        <v>30</v>
      </c>
      <c r="F1607" s="406">
        <f>VLOOKUP(C1603,'ENSAIOS DE ORÇAMENTO'!$C$3:$L$79,3,FALSE)</f>
        <v>0</v>
      </c>
      <c r="G1607" s="158">
        <f t="shared" si="517"/>
        <v>0</v>
      </c>
      <c r="H1607" s="465"/>
      <c r="I1607" s="465"/>
      <c r="J1607" s="407">
        <f t="shared" si="507"/>
        <v>0</v>
      </c>
      <c r="K1607" s="408"/>
      <c r="L1607" s="152">
        <v>0</v>
      </c>
      <c r="M1607" s="213"/>
      <c r="N1607" s="402">
        <f t="shared" si="518"/>
        <v>0</v>
      </c>
      <c r="O1607" s="402">
        <f t="shared" si="519"/>
        <v>0</v>
      </c>
      <c r="P1607" s="403"/>
      <c r="Q1607" s="464"/>
      <c r="R1607" s="464"/>
      <c r="S1607" s="402">
        <f t="shared" si="520"/>
        <v>0</v>
      </c>
      <c r="T1607" s="404">
        <f t="shared" si="513"/>
        <v>0</v>
      </c>
      <c r="U1607" s="403"/>
      <c r="V1607" s="160" t="str">
        <f>IF(T1603&gt;0,"xx",IF(O1603&gt;0,"xy",""))</f>
        <v/>
      </c>
      <c r="W1607" s="43" t="str">
        <f t="shared" si="505"/>
        <v/>
      </c>
      <c r="X1607" s="43" t="str">
        <f t="shared" si="515"/>
        <v/>
      </c>
      <c r="Y1607" s="43" t="str">
        <f t="shared" si="509"/>
        <v/>
      </c>
    </row>
    <row r="1608" spans="1:25" hidden="1">
      <c r="A1608" s="155" t="s">
        <v>183</v>
      </c>
      <c r="B1608" s="156"/>
      <c r="C1608" s="411" t="s">
        <v>512</v>
      </c>
      <c r="D1608" s="351"/>
      <c r="E1608" s="405">
        <v>500</v>
      </c>
      <c r="F1608" s="406">
        <f>VLOOKUP(C1603,'ENSAIOS DE ORÇAMENTO'!$C$3:$L$79,10,FALSE)</f>
        <v>0</v>
      </c>
      <c r="G1608" s="158">
        <f t="shared" ref="G1608" si="521">IF(E1608&lt;=30,(0.42*E1608+3.55)*F1608,((0.42*30+3.55)+0.35*(E1608-30))*F1608)</f>
        <v>0</v>
      </c>
      <c r="H1608" s="465"/>
      <c r="I1608" s="465"/>
      <c r="J1608" s="407">
        <f t="shared" si="507"/>
        <v>0</v>
      </c>
      <c r="K1608" s="408"/>
      <c r="L1608" s="152">
        <v>0</v>
      </c>
      <c r="M1608" s="213"/>
      <c r="N1608" s="402">
        <f t="shared" si="518"/>
        <v>0</v>
      </c>
      <c r="O1608" s="402">
        <f t="shared" si="519"/>
        <v>0</v>
      </c>
      <c r="P1608" s="403"/>
      <c r="Q1608" s="464"/>
      <c r="R1608" s="464"/>
      <c r="S1608" s="402">
        <f t="shared" si="520"/>
        <v>0</v>
      </c>
      <c r="T1608" s="404">
        <f t="shared" si="513"/>
        <v>0</v>
      </c>
      <c r="U1608" s="403"/>
      <c r="V1608" s="160" t="str">
        <f>IF(T1603&gt;0,"xx",IF(O1603&gt;0,"xy",""))</f>
        <v/>
      </c>
      <c r="W1608" s="43" t="str">
        <f t="shared" si="505"/>
        <v/>
      </c>
      <c r="X1608" s="43" t="str">
        <f t="shared" si="515"/>
        <v/>
      </c>
      <c r="Y1608" s="43" t="str">
        <f t="shared" si="509"/>
        <v/>
      </c>
    </row>
    <row r="1609" spans="1:25" hidden="1">
      <c r="A1609" s="155" t="s">
        <v>148</v>
      </c>
      <c r="B1609" s="156" t="s">
        <v>242</v>
      </c>
      <c r="C1609" s="411" t="s">
        <v>164</v>
      </c>
      <c r="D1609" s="351"/>
      <c r="E1609" s="405"/>
      <c r="F1609" s="406"/>
      <c r="G1609" s="158">
        <f>SUM(G1610:G1614)</f>
        <v>323.70978750000006</v>
      </c>
      <c r="H1609" s="465">
        <f>VLOOKUP(C1609,'ENSAIOS DE ORÇAMENTO'!$C$3:$L$79,8,FALSE)</f>
        <v>1337.9679000000001</v>
      </c>
      <c r="I1609" s="465">
        <f>IF(ISBLANK(H1609),"",SUM(G1609:H1609))*0.9</f>
        <v>1495.50991875</v>
      </c>
      <c r="J1609" s="407">
        <f t="shared" si="507"/>
        <v>1896.31</v>
      </c>
      <c r="K1609" s="408" t="s">
        <v>23</v>
      </c>
      <c r="L1609" s="152">
        <v>0</v>
      </c>
      <c r="M1609" s="152"/>
      <c r="N1609" s="402">
        <f t="shared" si="518"/>
        <v>0</v>
      </c>
      <c r="O1609" s="402">
        <f t="shared" si="519"/>
        <v>0</v>
      </c>
      <c r="P1609" s="403"/>
      <c r="Q1609" s="152">
        <f t="shared" si="497"/>
        <v>0</v>
      </c>
      <c r="R1609" s="152">
        <f t="shared" si="497"/>
        <v>0</v>
      </c>
      <c r="S1609" s="402">
        <f t="shared" si="520"/>
        <v>0</v>
      </c>
      <c r="T1609" s="404">
        <f t="shared" si="513"/>
        <v>0</v>
      </c>
      <c r="U1609" s="403"/>
      <c r="W1609" s="43" t="str">
        <f t="shared" si="505"/>
        <v/>
      </c>
      <c r="X1609" s="43" t="str">
        <f t="shared" si="515"/>
        <v/>
      </c>
      <c r="Y1609" s="43" t="str">
        <f t="shared" si="509"/>
        <v/>
      </c>
    </row>
    <row r="1610" spans="1:25" hidden="1">
      <c r="A1610" s="155" t="s">
        <v>183</v>
      </c>
      <c r="B1610" s="156"/>
      <c r="C1610" s="411" t="s">
        <v>251</v>
      </c>
      <c r="D1610" s="351"/>
      <c r="E1610" s="405">
        <v>500</v>
      </c>
      <c r="F1610" s="406">
        <f>VLOOKUP(C1609,'ENSAIOS DE ORÇAMENTO'!$C$3:$L$79,4,FALSE)</f>
        <v>0.64450000000000007</v>
      </c>
      <c r="G1610" s="158">
        <f>IF(E1610&lt;=30,(0.42*E1610+3.55)*F1610,((0.42*30+3.55)+0.35*(E1610-30))*F1610)</f>
        <v>116.42892500000002</v>
      </c>
      <c r="H1610" s="465"/>
      <c r="I1610" s="465"/>
      <c r="J1610" s="407">
        <f t="shared" si="507"/>
        <v>0</v>
      </c>
      <c r="K1610" s="408"/>
      <c r="L1610" s="152">
        <v>0</v>
      </c>
      <c r="M1610" s="213"/>
      <c r="N1610" s="402">
        <f t="shared" si="518"/>
        <v>0</v>
      </c>
      <c r="O1610" s="402">
        <f t="shared" si="519"/>
        <v>0</v>
      </c>
      <c r="P1610" s="403"/>
      <c r="Q1610" s="464"/>
      <c r="R1610" s="464"/>
      <c r="S1610" s="402">
        <f t="shared" si="520"/>
        <v>0</v>
      </c>
      <c r="T1610" s="404">
        <f t="shared" si="513"/>
        <v>0</v>
      </c>
      <c r="U1610" s="403"/>
      <c r="V1610" s="160" t="str">
        <f>IF(T1609&gt;0,"xx",IF(O1609&gt;0,"xy",""))</f>
        <v/>
      </c>
      <c r="W1610" s="43" t="str">
        <f t="shared" si="505"/>
        <v/>
      </c>
      <c r="X1610" s="43" t="str">
        <f t="shared" si="515"/>
        <v/>
      </c>
      <c r="Y1610" s="43" t="str">
        <f t="shared" si="509"/>
        <v/>
      </c>
    </row>
    <row r="1611" spans="1:25" hidden="1">
      <c r="A1611" s="155" t="s">
        <v>183</v>
      </c>
      <c r="B1611" s="156"/>
      <c r="C1611" s="411" t="s">
        <v>314</v>
      </c>
      <c r="D1611" s="351"/>
      <c r="E1611" s="405">
        <v>180</v>
      </c>
      <c r="F1611" s="406">
        <f>VLOOKUP(C1609,'ENSAIOS DE ORÇAMENTO'!$C$3:$L$79,5,FALSE)</f>
        <v>1.8840500000000002</v>
      </c>
      <c r="G1611" s="158">
        <f t="shared" ref="G1611:G1613" si="522">IF(E1611&lt;=30,(0.6*E1611+1.25)*F1611,((0.6*30+1.25)+0.5*(E1611-30))*F1611)</f>
        <v>177.57171250000002</v>
      </c>
      <c r="H1611" s="465"/>
      <c r="I1611" s="465"/>
      <c r="J1611" s="407">
        <f t="shared" si="507"/>
        <v>0</v>
      </c>
      <c r="K1611" s="408"/>
      <c r="L1611" s="152">
        <v>0</v>
      </c>
      <c r="M1611" s="213"/>
      <c r="N1611" s="402">
        <f t="shared" si="518"/>
        <v>0</v>
      </c>
      <c r="O1611" s="402">
        <f t="shared" si="519"/>
        <v>0</v>
      </c>
      <c r="P1611" s="403"/>
      <c r="Q1611" s="464"/>
      <c r="R1611" s="464"/>
      <c r="S1611" s="402">
        <f t="shared" si="520"/>
        <v>0</v>
      </c>
      <c r="T1611" s="404">
        <f t="shared" si="513"/>
        <v>0</v>
      </c>
      <c r="U1611" s="403"/>
      <c r="V1611" s="160" t="str">
        <f>IF(T1609&gt;0,"xx",IF(O1609&gt;0,"xy",""))</f>
        <v/>
      </c>
      <c r="W1611" s="43" t="str">
        <f t="shared" si="505"/>
        <v/>
      </c>
      <c r="X1611" s="43" t="str">
        <f t="shared" si="515"/>
        <v/>
      </c>
      <c r="Y1611" s="43" t="str">
        <f t="shared" si="509"/>
        <v/>
      </c>
    </row>
    <row r="1612" spans="1:25" hidden="1">
      <c r="A1612" s="155" t="s">
        <v>183</v>
      </c>
      <c r="B1612" s="156"/>
      <c r="C1612" s="411" t="s">
        <v>323</v>
      </c>
      <c r="D1612" s="351"/>
      <c r="E1612" s="405">
        <v>20</v>
      </c>
      <c r="F1612" s="406">
        <f>VLOOKUP(C1609,'ENSAIOS DE ORÇAMENTO'!$C$3:$L$79,6,FALSE)</f>
        <v>2.2422</v>
      </c>
      <c r="G1612" s="158">
        <f t="shared" si="522"/>
        <v>29.709150000000001</v>
      </c>
      <c r="H1612" s="465"/>
      <c r="I1612" s="465"/>
      <c r="J1612" s="407">
        <f t="shared" si="507"/>
        <v>0</v>
      </c>
      <c r="K1612" s="408"/>
      <c r="L1612" s="152">
        <v>0</v>
      </c>
      <c r="M1612" s="213"/>
      <c r="N1612" s="402">
        <f t="shared" si="518"/>
        <v>0</v>
      </c>
      <c r="O1612" s="402">
        <f t="shared" si="519"/>
        <v>0</v>
      </c>
      <c r="P1612" s="403"/>
      <c r="Q1612" s="464"/>
      <c r="R1612" s="464"/>
      <c r="S1612" s="402">
        <f t="shared" si="520"/>
        <v>0</v>
      </c>
      <c r="T1612" s="404">
        <f t="shared" si="513"/>
        <v>0</v>
      </c>
      <c r="U1612" s="403"/>
      <c r="V1612" s="160" t="str">
        <f>IF(T1609&gt;0,"xx",IF(O1609&gt;0,"xy",""))</f>
        <v/>
      </c>
      <c r="W1612" s="43" t="str">
        <f t="shared" si="505"/>
        <v/>
      </c>
      <c r="X1612" s="43" t="str">
        <f t="shared" si="515"/>
        <v/>
      </c>
      <c r="Y1612" s="43" t="str">
        <f t="shared" si="509"/>
        <v/>
      </c>
    </row>
    <row r="1613" spans="1:25" hidden="1">
      <c r="A1613" s="155" t="s">
        <v>183</v>
      </c>
      <c r="B1613" s="156"/>
      <c r="C1613" s="411" t="s">
        <v>511</v>
      </c>
      <c r="D1613" s="351"/>
      <c r="E1613" s="405">
        <v>30</v>
      </c>
      <c r="F1613" s="406">
        <f>VLOOKUP(C1609,'ENSAIOS DE ORÇAMENTO'!$C$3:$L$79,3,FALSE)</f>
        <v>0</v>
      </c>
      <c r="G1613" s="158">
        <f t="shared" si="522"/>
        <v>0</v>
      </c>
      <c r="H1613" s="465"/>
      <c r="I1613" s="465"/>
      <c r="J1613" s="407">
        <f t="shared" si="507"/>
        <v>0</v>
      </c>
      <c r="K1613" s="408"/>
      <c r="L1613" s="152">
        <v>0</v>
      </c>
      <c r="M1613" s="213"/>
      <c r="N1613" s="402">
        <f t="shared" si="518"/>
        <v>0</v>
      </c>
      <c r="O1613" s="402">
        <f t="shared" si="519"/>
        <v>0</v>
      </c>
      <c r="P1613" s="403"/>
      <c r="Q1613" s="464"/>
      <c r="R1613" s="464"/>
      <c r="S1613" s="402">
        <f t="shared" si="520"/>
        <v>0</v>
      </c>
      <c r="T1613" s="404">
        <f t="shared" si="513"/>
        <v>0</v>
      </c>
      <c r="U1613" s="403"/>
      <c r="V1613" s="160" t="str">
        <f>IF(T1609&gt;0,"xx",IF(O1609&gt;0,"xy",""))</f>
        <v/>
      </c>
      <c r="W1613" s="43" t="str">
        <f t="shared" si="505"/>
        <v/>
      </c>
      <c r="X1613" s="43" t="str">
        <f t="shared" si="515"/>
        <v/>
      </c>
      <c r="Y1613" s="43" t="str">
        <f t="shared" si="509"/>
        <v/>
      </c>
    </row>
    <row r="1614" spans="1:25" hidden="1">
      <c r="A1614" s="155" t="s">
        <v>183</v>
      </c>
      <c r="B1614" s="156"/>
      <c r="C1614" s="411" t="s">
        <v>512</v>
      </c>
      <c r="D1614" s="351"/>
      <c r="E1614" s="405">
        <v>500</v>
      </c>
      <c r="F1614" s="406">
        <f>VLOOKUP(C1609,'ENSAIOS DE ORÇAMENTO'!$C$3:$L$79,10,FALSE)</f>
        <v>0</v>
      </c>
      <c r="G1614" s="158">
        <f t="shared" ref="G1614" si="523">IF(E1614&lt;=30,(0.42*E1614+3.55)*F1614,((0.42*30+3.55)+0.35*(E1614-30))*F1614)</f>
        <v>0</v>
      </c>
      <c r="H1614" s="465"/>
      <c r="I1614" s="465"/>
      <c r="J1614" s="407">
        <f t="shared" si="507"/>
        <v>0</v>
      </c>
      <c r="K1614" s="408"/>
      <c r="L1614" s="152">
        <v>0</v>
      </c>
      <c r="M1614" s="213"/>
      <c r="N1614" s="402">
        <f t="shared" si="518"/>
        <v>0</v>
      </c>
      <c r="O1614" s="402">
        <f t="shared" si="519"/>
        <v>0</v>
      </c>
      <c r="P1614" s="403"/>
      <c r="Q1614" s="464"/>
      <c r="R1614" s="464"/>
      <c r="S1614" s="402">
        <f t="shared" si="520"/>
        <v>0</v>
      </c>
      <c r="T1614" s="404">
        <f t="shared" si="513"/>
        <v>0</v>
      </c>
      <c r="U1614" s="403"/>
      <c r="V1614" s="160" t="str">
        <f>IF(T1609&gt;0,"xx",IF(O1609&gt;0,"xy",""))</f>
        <v/>
      </c>
      <c r="W1614" s="43" t="str">
        <f t="shared" si="505"/>
        <v/>
      </c>
      <c r="X1614" s="43" t="str">
        <f t="shared" si="515"/>
        <v/>
      </c>
      <c r="Y1614" s="43" t="str">
        <f t="shared" si="509"/>
        <v/>
      </c>
    </row>
    <row r="1615" spans="1:25" hidden="1">
      <c r="A1615" s="155" t="s">
        <v>149</v>
      </c>
      <c r="B1615" s="156" t="s">
        <v>242</v>
      </c>
      <c r="C1615" s="411" t="s">
        <v>165</v>
      </c>
      <c r="D1615" s="351"/>
      <c r="E1615" s="405"/>
      <c r="F1615" s="406"/>
      <c r="G1615" s="158">
        <f>SUM(G1616:G1620)</f>
        <v>405.82724250000001</v>
      </c>
      <c r="H1615" s="465">
        <f>VLOOKUP(C1615,'ENSAIOS DE ORÇAMENTO'!$C$3:$L$79,8,FALSE)</f>
        <v>1527.1474699999999</v>
      </c>
      <c r="I1615" s="465">
        <f>IF(ISBLANK(H1615),"",SUM(G1615:H1615))*0.9</f>
        <v>1739.67724125</v>
      </c>
      <c r="J1615" s="407">
        <f t="shared" si="507"/>
        <v>2205.91</v>
      </c>
      <c r="K1615" s="408" t="s">
        <v>23</v>
      </c>
      <c r="L1615" s="152">
        <v>0</v>
      </c>
      <c r="M1615" s="152"/>
      <c r="N1615" s="402">
        <f t="shared" si="518"/>
        <v>0</v>
      </c>
      <c r="O1615" s="402">
        <f t="shared" si="519"/>
        <v>0</v>
      </c>
      <c r="P1615" s="403"/>
      <c r="Q1615" s="152">
        <f t="shared" si="497"/>
        <v>0</v>
      </c>
      <c r="R1615" s="152">
        <f t="shared" si="497"/>
        <v>0</v>
      </c>
      <c r="S1615" s="402">
        <f t="shared" si="520"/>
        <v>0</v>
      </c>
      <c r="T1615" s="404">
        <f t="shared" si="513"/>
        <v>0</v>
      </c>
      <c r="U1615" s="403"/>
      <c r="W1615" s="43" t="str">
        <f t="shared" si="505"/>
        <v/>
      </c>
      <c r="X1615" s="43" t="str">
        <f t="shared" si="515"/>
        <v/>
      </c>
      <c r="Y1615" s="43" t="str">
        <f t="shared" si="509"/>
        <v/>
      </c>
    </row>
    <row r="1616" spans="1:25" hidden="1">
      <c r="A1616" s="155" t="s">
        <v>183</v>
      </c>
      <c r="B1616" s="156"/>
      <c r="C1616" s="411" t="s">
        <v>251</v>
      </c>
      <c r="D1616" s="351"/>
      <c r="E1616" s="405">
        <v>500</v>
      </c>
      <c r="F1616" s="406">
        <f>VLOOKUP(C1615,'ENSAIOS DE ORÇAMENTO'!$C$3:$L$79,4,FALSE)</f>
        <v>0.81040000000000001</v>
      </c>
      <c r="G1616" s="158">
        <f>IF(E1616&lt;=30,(0.42*E1616+3.55)*F1616,((0.42*30+3.55)+0.35*(E1616-30))*F1616)</f>
        <v>146.39876000000001</v>
      </c>
      <c r="H1616" s="465"/>
      <c r="I1616" s="465"/>
      <c r="J1616" s="407">
        <f t="shared" si="507"/>
        <v>0</v>
      </c>
      <c r="K1616" s="408"/>
      <c r="L1616" s="152">
        <v>0</v>
      </c>
      <c r="M1616" s="213"/>
      <c r="N1616" s="402">
        <f t="shared" si="518"/>
        <v>0</v>
      </c>
      <c r="O1616" s="402">
        <f t="shared" si="519"/>
        <v>0</v>
      </c>
      <c r="P1616" s="403"/>
      <c r="Q1616" s="464"/>
      <c r="R1616" s="464"/>
      <c r="S1616" s="402">
        <f t="shared" si="520"/>
        <v>0</v>
      </c>
      <c r="T1616" s="404">
        <f t="shared" si="513"/>
        <v>0</v>
      </c>
      <c r="U1616" s="403"/>
      <c r="V1616" s="160" t="str">
        <f>IF(T1615&gt;0,"xx",IF(O1615&gt;0,"xy",""))</f>
        <v/>
      </c>
      <c r="W1616" s="43" t="str">
        <f t="shared" si="505"/>
        <v/>
      </c>
      <c r="X1616" s="43" t="str">
        <f t="shared" si="515"/>
        <v/>
      </c>
      <c r="Y1616" s="43" t="str">
        <f t="shared" si="509"/>
        <v/>
      </c>
    </row>
    <row r="1617" spans="1:25" hidden="1">
      <c r="A1617" s="155" t="s">
        <v>183</v>
      </c>
      <c r="B1617" s="156"/>
      <c r="C1617" s="411" t="s">
        <v>314</v>
      </c>
      <c r="D1617" s="351"/>
      <c r="E1617" s="405">
        <v>180</v>
      </c>
      <c r="F1617" s="406">
        <f>VLOOKUP(C1615,'ENSAIOS DE ORÇAMENTO'!$C$3:$L$79,5,FALSE)</f>
        <v>2.3575999999999997</v>
      </c>
      <c r="G1617" s="158">
        <f t="shared" ref="G1617:G1619" si="524">IF(E1617&lt;=30,(0.6*E1617+1.25)*F1617,((0.6*30+1.25)+0.5*(E1617-30))*F1617)</f>
        <v>222.20379999999997</v>
      </c>
      <c r="H1617" s="465"/>
      <c r="I1617" s="465"/>
      <c r="J1617" s="407">
        <f t="shared" si="507"/>
        <v>0</v>
      </c>
      <c r="K1617" s="408"/>
      <c r="L1617" s="152">
        <v>0</v>
      </c>
      <c r="M1617" s="213"/>
      <c r="N1617" s="402">
        <f t="shared" si="518"/>
        <v>0</v>
      </c>
      <c r="O1617" s="402">
        <f t="shared" si="519"/>
        <v>0</v>
      </c>
      <c r="P1617" s="403"/>
      <c r="Q1617" s="464"/>
      <c r="R1617" s="464"/>
      <c r="S1617" s="402">
        <f t="shared" si="520"/>
        <v>0</v>
      </c>
      <c r="T1617" s="404">
        <f t="shared" si="513"/>
        <v>0</v>
      </c>
      <c r="U1617" s="403"/>
      <c r="V1617" s="160" t="str">
        <f>IF(T1615&gt;0,"xx",IF(O1615&gt;0,"xy",""))</f>
        <v/>
      </c>
      <c r="W1617" s="43" t="str">
        <f t="shared" si="505"/>
        <v/>
      </c>
      <c r="X1617" s="43" t="str">
        <f t="shared" si="515"/>
        <v/>
      </c>
      <c r="Y1617" s="43" t="str">
        <f t="shared" si="509"/>
        <v/>
      </c>
    </row>
    <row r="1618" spans="1:25" hidden="1">
      <c r="A1618" s="155" t="s">
        <v>183</v>
      </c>
      <c r="B1618" s="156"/>
      <c r="C1618" s="411" t="s">
        <v>323</v>
      </c>
      <c r="D1618" s="351"/>
      <c r="E1618" s="405">
        <v>20</v>
      </c>
      <c r="F1618" s="406">
        <f>VLOOKUP(C1615,'ENSAIOS DE ORÇAMENTO'!$C$3:$L$79,6,FALSE)</f>
        <v>2.8094099999999997</v>
      </c>
      <c r="G1618" s="158">
        <f t="shared" si="524"/>
        <v>37.2246825</v>
      </c>
      <c r="H1618" s="465"/>
      <c r="I1618" s="465"/>
      <c r="J1618" s="407">
        <f t="shared" si="507"/>
        <v>0</v>
      </c>
      <c r="K1618" s="408"/>
      <c r="L1618" s="152">
        <v>0</v>
      </c>
      <c r="M1618" s="213"/>
      <c r="N1618" s="402">
        <f t="shared" si="518"/>
        <v>0</v>
      </c>
      <c r="O1618" s="402">
        <f t="shared" si="519"/>
        <v>0</v>
      </c>
      <c r="P1618" s="403"/>
      <c r="Q1618" s="464"/>
      <c r="R1618" s="464"/>
      <c r="S1618" s="402">
        <f t="shared" si="520"/>
        <v>0</v>
      </c>
      <c r="T1618" s="404">
        <f t="shared" si="513"/>
        <v>0</v>
      </c>
      <c r="U1618" s="403"/>
      <c r="V1618" s="160" t="str">
        <f>IF(T1615&gt;0,"xx",IF(O1615&gt;0,"xy",""))</f>
        <v/>
      </c>
      <c r="W1618" s="43" t="str">
        <f t="shared" si="505"/>
        <v/>
      </c>
      <c r="X1618" s="43" t="str">
        <f t="shared" si="515"/>
        <v/>
      </c>
      <c r="Y1618" s="43" t="str">
        <f t="shared" si="509"/>
        <v/>
      </c>
    </row>
    <row r="1619" spans="1:25" hidden="1">
      <c r="A1619" s="155" t="s">
        <v>183</v>
      </c>
      <c r="B1619" s="156"/>
      <c r="C1619" s="411" t="s">
        <v>511</v>
      </c>
      <c r="D1619" s="351"/>
      <c r="E1619" s="405">
        <v>30</v>
      </c>
      <c r="F1619" s="406">
        <f>VLOOKUP(C1615,'ENSAIOS DE ORÇAMENTO'!$C$3:$L$79,3,FALSE)</f>
        <v>0</v>
      </c>
      <c r="G1619" s="158">
        <f t="shared" si="524"/>
        <v>0</v>
      </c>
      <c r="H1619" s="465"/>
      <c r="I1619" s="465"/>
      <c r="J1619" s="407">
        <f t="shared" si="507"/>
        <v>0</v>
      </c>
      <c r="K1619" s="408"/>
      <c r="L1619" s="152">
        <v>0</v>
      </c>
      <c r="M1619" s="213"/>
      <c r="N1619" s="402">
        <f t="shared" si="518"/>
        <v>0</v>
      </c>
      <c r="O1619" s="402">
        <f t="shared" si="519"/>
        <v>0</v>
      </c>
      <c r="P1619" s="403"/>
      <c r="Q1619" s="464"/>
      <c r="R1619" s="464"/>
      <c r="S1619" s="402">
        <f t="shared" si="520"/>
        <v>0</v>
      </c>
      <c r="T1619" s="404">
        <f t="shared" si="513"/>
        <v>0</v>
      </c>
      <c r="U1619" s="403"/>
      <c r="V1619" s="160" t="str">
        <f>IF(T1615&gt;0,"xx",IF(O1615&gt;0,"xy",""))</f>
        <v/>
      </c>
      <c r="W1619" s="43" t="str">
        <f t="shared" si="505"/>
        <v/>
      </c>
      <c r="X1619" s="43" t="str">
        <f t="shared" si="515"/>
        <v/>
      </c>
      <c r="Y1619" s="43" t="str">
        <f t="shared" si="509"/>
        <v/>
      </c>
    </row>
    <row r="1620" spans="1:25" hidden="1">
      <c r="A1620" s="155" t="s">
        <v>183</v>
      </c>
      <c r="B1620" s="156"/>
      <c r="C1620" s="411" t="s">
        <v>512</v>
      </c>
      <c r="D1620" s="351"/>
      <c r="E1620" s="405">
        <v>500</v>
      </c>
      <c r="F1620" s="406">
        <f>VLOOKUP(C1615,'ENSAIOS DE ORÇAMENTO'!$C$3:$L$79,10,FALSE)</f>
        <v>0</v>
      </c>
      <c r="G1620" s="158">
        <f t="shared" ref="G1620" si="525">IF(E1620&lt;=30,(0.42*E1620+3.55)*F1620,((0.42*30+3.55)+0.35*(E1620-30))*F1620)</f>
        <v>0</v>
      </c>
      <c r="H1620" s="465"/>
      <c r="I1620" s="465"/>
      <c r="J1620" s="407">
        <f t="shared" si="507"/>
        <v>0</v>
      </c>
      <c r="K1620" s="408"/>
      <c r="L1620" s="152">
        <v>0</v>
      </c>
      <c r="M1620" s="213"/>
      <c r="N1620" s="402">
        <f t="shared" si="518"/>
        <v>0</v>
      </c>
      <c r="O1620" s="402">
        <f t="shared" si="519"/>
        <v>0</v>
      </c>
      <c r="P1620" s="403"/>
      <c r="Q1620" s="464"/>
      <c r="R1620" s="464"/>
      <c r="S1620" s="402">
        <f t="shared" si="520"/>
        <v>0</v>
      </c>
      <c r="T1620" s="404">
        <f t="shared" si="513"/>
        <v>0</v>
      </c>
      <c r="U1620" s="403"/>
      <c r="V1620" s="160" t="str">
        <f>IF(T1615&gt;0,"xx",IF(O1615&gt;0,"xy",""))</f>
        <v/>
      </c>
      <c r="W1620" s="43" t="str">
        <f t="shared" si="505"/>
        <v/>
      </c>
      <c r="X1620" s="43" t="str">
        <f t="shared" si="515"/>
        <v/>
      </c>
      <c r="Y1620" s="43" t="str">
        <f t="shared" si="509"/>
        <v/>
      </c>
    </row>
    <row r="1621" spans="1:25" hidden="1">
      <c r="A1621" s="155" t="s">
        <v>150</v>
      </c>
      <c r="B1621" s="156" t="s">
        <v>242</v>
      </c>
      <c r="C1621" s="411" t="s">
        <v>166</v>
      </c>
      <c r="D1621" s="351"/>
      <c r="E1621" s="405"/>
      <c r="F1621" s="406"/>
      <c r="G1621" s="158">
        <f>SUM(G1622:G1626)</f>
        <v>195.87401250000002</v>
      </c>
      <c r="H1621" s="465">
        <f>VLOOKUP(C1621,'ENSAIOS DE ORÇAMENTO'!$C$3:$L$79,8,FALSE)</f>
        <v>1958.6774500000001</v>
      </c>
      <c r="I1621" s="465">
        <f>IF(ISBLANK(H1621),"",SUM(G1621:H1621))*0.95</f>
        <v>2046.8238893749999</v>
      </c>
      <c r="J1621" s="407">
        <f t="shared" si="507"/>
        <v>2595.37</v>
      </c>
      <c r="K1621" s="408" t="s">
        <v>23</v>
      </c>
      <c r="L1621" s="152">
        <v>0</v>
      </c>
      <c r="M1621" s="152"/>
      <c r="N1621" s="402">
        <f t="shared" si="518"/>
        <v>0</v>
      </c>
      <c r="O1621" s="402">
        <f t="shared" si="519"/>
        <v>0</v>
      </c>
      <c r="P1621" s="403"/>
      <c r="Q1621" s="152">
        <f t="shared" ref="Q1621:R1681" si="526">L1621</f>
        <v>0</v>
      </c>
      <c r="R1621" s="152">
        <f t="shared" si="526"/>
        <v>0</v>
      </c>
      <c r="S1621" s="402">
        <f t="shared" si="520"/>
        <v>0</v>
      </c>
      <c r="T1621" s="404">
        <f t="shared" si="513"/>
        <v>0</v>
      </c>
      <c r="U1621" s="403"/>
      <c r="W1621" s="43" t="str">
        <f t="shared" si="505"/>
        <v/>
      </c>
      <c r="X1621" s="43" t="str">
        <f t="shared" si="515"/>
        <v/>
      </c>
      <c r="Y1621" s="43" t="str">
        <f t="shared" si="509"/>
        <v/>
      </c>
    </row>
    <row r="1622" spans="1:25" hidden="1">
      <c r="A1622" s="155" t="s">
        <v>183</v>
      </c>
      <c r="B1622" s="156"/>
      <c r="C1622" s="411" t="s">
        <v>251</v>
      </c>
      <c r="D1622" s="351"/>
      <c r="E1622" s="405">
        <v>500</v>
      </c>
      <c r="F1622" s="406">
        <f>VLOOKUP(C1621,'ENSAIOS DE ORÇAMENTO'!$C$3:$L$79,4,FALSE)</f>
        <v>0.38540000000000008</v>
      </c>
      <c r="G1622" s="158">
        <f>IF(E1622&lt;=30,(0.42*E1622+3.55)*F1622,((0.42*30+3.55)+0.35*(E1622-30))*F1622)</f>
        <v>69.62251000000002</v>
      </c>
      <c r="H1622" s="465"/>
      <c r="I1622" s="465"/>
      <c r="J1622" s="407">
        <f t="shared" si="507"/>
        <v>0</v>
      </c>
      <c r="K1622" s="408"/>
      <c r="L1622" s="152">
        <v>0</v>
      </c>
      <c r="M1622" s="213"/>
      <c r="N1622" s="402">
        <f t="shared" si="518"/>
        <v>0</v>
      </c>
      <c r="O1622" s="402">
        <f t="shared" si="519"/>
        <v>0</v>
      </c>
      <c r="P1622" s="403"/>
      <c r="Q1622" s="464"/>
      <c r="R1622" s="464"/>
      <c r="S1622" s="402">
        <f t="shared" si="520"/>
        <v>0</v>
      </c>
      <c r="T1622" s="404">
        <f t="shared" si="513"/>
        <v>0</v>
      </c>
      <c r="U1622" s="403"/>
      <c r="V1622" s="160" t="str">
        <f>IF(T1621&gt;0,"xx",IF(O1621&gt;0,"xy",""))</f>
        <v/>
      </c>
      <c r="W1622" s="43" t="str">
        <f t="shared" si="505"/>
        <v/>
      </c>
      <c r="X1622" s="43" t="str">
        <f t="shared" si="515"/>
        <v/>
      </c>
      <c r="Y1622" s="43" t="str">
        <f t="shared" si="509"/>
        <v/>
      </c>
    </row>
    <row r="1623" spans="1:25" hidden="1">
      <c r="A1623" s="155" t="s">
        <v>183</v>
      </c>
      <c r="B1623" s="156"/>
      <c r="C1623" s="411" t="s">
        <v>314</v>
      </c>
      <c r="D1623" s="351"/>
      <c r="E1623" s="405">
        <v>180</v>
      </c>
      <c r="F1623" s="406">
        <f>VLOOKUP(C1621,'ENSAIOS DE ORÇAMENTO'!$C$3:$L$79,5,FALSE)</f>
        <v>1.1483800000000002</v>
      </c>
      <c r="G1623" s="158">
        <f t="shared" ref="G1623:G1625" si="527">IF(E1623&lt;=30,(0.6*E1623+1.25)*F1623,((0.6*30+1.25)+0.5*(E1623-30))*F1623)</f>
        <v>108.23481500000001</v>
      </c>
      <c r="H1623" s="465"/>
      <c r="I1623" s="465"/>
      <c r="J1623" s="407">
        <f t="shared" si="507"/>
        <v>0</v>
      </c>
      <c r="K1623" s="408"/>
      <c r="L1623" s="152">
        <v>0</v>
      </c>
      <c r="M1623" s="213"/>
      <c r="N1623" s="402">
        <f t="shared" si="518"/>
        <v>0</v>
      </c>
      <c r="O1623" s="402">
        <f t="shared" si="519"/>
        <v>0</v>
      </c>
      <c r="P1623" s="403"/>
      <c r="Q1623" s="464"/>
      <c r="R1623" s="464"/>
      <c r="S1623" s="402">
        <f t="shared" si="520"/>
        <v>0</v>
      </c>
      <c r="T1623" s="404">
        <f t="shared" si="513"/>
        <v>0</v>
      </c>
      <c r="U1623" s="403"/>
      <c r="V1623" s="160" t="str">
        <f>IF(T1621&gt;0,"xx",IF(O1621&gt;0,"xy",""))</f>
        <v/>
      </c>
      <c r="W1623" s="43" t="str">
        <f t="shared" si="505"/>
        <v/>
      </c>
      <c r="X1623" s="43" t="str">
        <f t="shared" si="515"/>
        <v/>
      </c>
      <c r="Y1623" s="43" t="str">
        <f t="shared" si="509"/>
        <v/>
      </c>
    </row>
    <row r="1624" spans="1:25" hidden="1">
      <c r="A1624" s="155" t="s">
        <v>183</v>
      </c>
      <c r="B1624" s="156"/>
      <c r="C1624" s="411" t="s">
        <v>323</v>
      </c>
      <c r="D1624" s="351"/>
      <c r="E1624" s="405">
        <v>20</v>
      </c>
      <c r="F1624" s="406">
        <f>VLOOKUP(C1621,'ENSAIOS DE ORÇAMENTO'!$C$3:$L$79,6,FALSE)</f>
        <v>1.35975</v>
      </c>
      <c r="G1624" s="158">
        <f t="shared" si="527"/>
        <v>18.0166875</v>
      </c>
      <c r="H1624" s="465"/>
      <c r="I1624" s="465"/>
      <c r="J1624" s="407">
        <f t="shared" si="507"/>
        <v>0</v>
      </c>
      <c r="K1624" s="408"/>
      <c r="L1624" s="152">
        <v>0</v>
      </c>
      <c r="M1624" s="213"/>
      <c r="N1624" s="402">
        <f t="shared" si="518"/>
        <v>0</v>
      </c>
      <c r="O1624" s="402">
        <f t="shared" si="519"/>
        <v>0</v>
      </c>
      <c r="P1624" s="403"/>
      <c r="Q1624" s="464"/>
      <c r="R1624" s="464"/>
      <c r="S1624" s="402">
        <f t="shared" si="520"/>
        <v>0</v>
      </c>
      <c r="T1624" s="404">
        <f t="shared" si="513"/>
        <v>0</v>
      </c>
      <c r="U1624" s="403"/>
      <c r="V1624" s="160" t="str">
        <f>IF(T1621&gt;0,"xx",IF(O1621&gt;0,"xy",""))</f>
        <v/>
      </c>
      <c r="W1624" s="43" t="str">
        <f t="shared" si="505"/>
        <v/>
      </c>
      <c r="X1624" s="43" t="str">
        <f t="shared" si="515"/>
        <v/>
      </c>
      <c r="Y1624" s="43" t="str">
        <f t="shared" si="509"/>
        <v/>
      </c>
    </row>
    <row r="1625" spans="1:25" hidden="1">
      <c r="A1625" s="155" t="s">
        <v>183</v>
      </c>
      <c r="B1625" s="156"/>
      <c r="C1625" s="411" t="s">
        <v>511</v>
      </c>
      <c r="D1625" s="351"/>
      <c r="E1625" s="405">
        <v>30</v>
      </c>
      <c r="F1625" s="406">
        <f>VLOOKUP(C1621,'ENSAIOS DE ORÇAMENTO'!$C$3:$L$79,3,FALSE)</f>
        <v>0</v>
      </c>
      <c r="G1625" s="158">
        <f t="shared" si="527"/>
        <v>0</v>
      </c>
      <c r="H1625" s="465"/>
      <c r="I1625" s="465"/>
      <c r="J1625" s="407">
        <f t="shared" si="507"/>
        <v>0</v>
      </c>
      <c r="K1625" s="408"/>
      <c r="L1625" s="152">
        <v>0</v>
      </c>
      <c r="M1625" s="213"/>
      <c r="N1625" s="402">
        <f t="shared" si="518"/>
        <v>0</v>
      </c>
      <c r="O1625" s="402">
        <f t="shared" si="519"/>
        <v>0</v>
      </c>
      <c r="P1625" s="403"/>
      <c r="Q1625" s="464"/>
      <c r="R1625" s="464"/>
      <c r="S1625" s="402">
        <f t="shared" si="520"/>
        <v>0</v>
      </c>
      <c r="T1625" s="404">
        <f t="shared" si="513"/>
        <v>0</v>
      </c>
      <c r="U1625" s="403"/>
      <c r="V1625" s="160" t="str">
        <f>IF(T1621&gt;0,"xx",IF(O1621&gt;0,"xy",""))</f>
        <v/>
      </c>
      <c r="W1625" s="43" t="str">
        <f t="shared" si="505"/>
        <v/>
      </c>
      <c r="X1625" s="43" t="str">
        <f t="shared" si="515"/>
        <v/>
      </c>
      <c r="Y1625" s="43" t="str">
        <f t="shared" si="509"/>
        <v/>
      </c>
    </row>
    <row r="1626" spans="1:25" hidden="1">
      <c r="A1626" s="155" t="s">
        <v>183</v>
      </c>
      <c r="B1626" s="156"/>
      <c r="C1626" s="411" t="s">
        <v>512</v>
      </c>
      <c r="D1626" s="351"/>
      <c r="E1626" s="405">
        <v>500</v>
      </c>
      <c r="F1626" s="406">
        <f>VLOOKUP(C1621,'ENSAIOS DE ORÇAMENTO'!$C$3:$L$79,10,FALSE)</f>
        <v>0</v>
      </c>
      <c r="G1626" s="158">
        <f t="shared" ref="G1626" si="528">IF(E1626&lt;=30,(0.42*E1626+3.55)*F1626,((0.42*30+3.55)+0.35*(E1626-30))*F1626)</f>
        <v>0</v>
      </c>
      <c r="H1626" s="465"/>
      <c r="I1626" s="465"/>
      <c r="J1626" s="407">
        <f t="shared" si="507"/>
        <v>0</v>
      </c>
      <c r="K1626" s="408"/>
      <c r="L1626" s="152">
        <v>0</v>
      </c>
      <c r="M1626" s="213"/>
      <c r="N1626" s="402">
        <f t="shared" si="518"/>
        <v>0</v>
      </c>
      <c r="O1626" s="402">
        <f t="shared" si="519"/>
        <v>0</v>
      </c>
      <c r="P1626" s="403"/>
      <c r="Q1626" s="464"/>
      <c r="R1626" s="464"/>
      <c r="S1626" s="402">
        <f t="shared" si="520"/>
        <v>0</v>
      </c>
      <c r="T1626" s="404">
        <f t="shared" si="513"/>
        <v>0</v>
      </c>
      <c r="U1626" s="403"/>
      <c r="V1626" s="160" t="str">
        <f>IF(T1621&gt;0,"xx",IF(O1621&gt;0,"xy",""))</f>
        <v/>
      </c>
      <c r="W1626" s="43" t="str">
        <f t="shared" si="505"/>
        <v/>
      </c>
      <c r="X1626" s="43" t="str">
        <f t="shared" si="515"/>
        <v/>
      </c>
      <c r="Y1626" s="43" t="str">
        <f t="shared" si="509"/>
        <v/>
      </c>
    </row>
    <row r="1627" spans="1:25" hidden="1">
      <c r="A1627" s="155" t="s">
        <v>151</v>
      </c>
      <c r="B1627" s="156" t="s">
        <v>242</v>
      </c>
      <c r="C1627" s="411" t="s">
        <v>167</v>
      </c>
      <c r="D1627" s="351"/>
      <c r="E1627" s="405"/>
      <c r="F1627" s="406"/>
      <c r="G1627" s="158">
        <f>SUM(G1628:G1632)</f>
        <v>220.04294999999999</v>
      </c>
      <c r="H1627" s="465">
        <f>VLOOKUP(C1627,'ENSAIOS DE ORÇAMENTO'!$C$3:$L$79,8,FALSE)</f>
        <v>2167.5227</v>
      </c>
      <c r="I1627" s="465">
        <f>IF(ISBLANK(H1627),"",SUM(G1627:H1627))*0.95</f>
        <v>2268.1873674999997</v>
      </c>
      <c r="J1627" s="407">
        <f t="shared" si="507"/>
        <v>2876.06</v>
      </c>
      <c r="K1627" s="408" t="s">
        <v>23</v>
      </c>
      <c r="L1627" s="152">
        <v>0</v>
      </c>
      <c r="M1627" s="152"/>
      <c r="N1627" s="402">
        <f t="shared" si="518"/>
        <v>0</v>
      </c>
      <c r="O1627" s="402">
        <f t="shared" si="519"/>
        <v>0</v>
      </c>
      <c r="P1627" s="403"/>
      <c r="Q1627" s="152">
        <f t="shared" si="526"/>
        <v>0</v>
      </c>
      <c r="R1627" s="152">
        <f t="shared" si="526"/>
        <v>0</v>
      </c>
      <c r="S1627" s="402">
        <f t="shared" si="520"/>
        <v>0</v>
      </c>
      <c r="T1627" s="404">
        <f t="shared" si="513"/>
        <v>0</v>
      </c>
      <c r="U1627" s="403"/>
      <c r="W1627" s="43" t="str">
        <f t="shared" si="505"/>
        <v/>
      </c>
      <c r="X1627" s="43" t="str">
        <f t="shared" si="515"/>
        <v/>
      </c>
      <c r="Y1627" s="43" t="str">
        <f t="shared" si="509"/>
        <v/>
      </c>
    </row>
    <row r="1628" spans="1:25" hidden="1">
      <c r="A1628" s="155" t="s">
        <v>183</v>
      </c>
      <c r="B1628" s="156"/>
      <c r="C1628" s="411" t="s">
        <v>251</v>
      </c>
      <c r="D1628" s="351"/>
      <c r="E1628" s="405">
        <v>500</v>
      </c>
      <c r="F1628" s="406">
        <f>VLOOKUP(C1627,'ENSAIOS DE ORÇAMENTO'!$C$3:$L$79,4,FALSE)</f>
        <v>0.43490000000000006</v>
      </c>
      <c r="G1628" s="158">
        <f>IF(E1628&lt;=30,(0.42*E1628+3.55)*F1628,((0.42*30+3.55)+0.35*(E1628-30))*F1628)</f>
        <v>78.564685000000011</v>
      </c>
      <c r="H1628" s="465"/>
      <c r="I1628" s="465"/>
      <c r="J1628" s="407">
        <f t="shared" si="507"/>
        <v>0</v>
      </c>
      <c r="K1628" s="408"/>
      <c r="L1628" s="152">
        <v>0</v>
      </c>
      <c r="M1628" s="213"/>
      <c r="N1628" s="402">
        <f t="shared" si="518"/>
        <v>0</v>
      </c>
      <c r="O1628" s="402">
        <f t="shared" si="519"/>
        <v>0</v>
      </c>
      <c r="P1628" s="403"/>
      <c r="Q1628" s="464"/>
      <c r="R1628" s="464"/>
      <c r="S1628" s="402">
        <f t="shared" si="520"/>
        <v>0</v>
      </c>
      <c r="T1628" s="404">
        <f t="shared" si="513"/>
        <v>0</v>
      </c>
      <c r="U1628" s="403"/>
      <c r="V1628" s="160" t="str">
        <f>IF(T1627&gt;0,"xx",IF(O1627&gt;0,"xy",""))</f>
        <v/>
      </c>
      <c r="W1628" s="43" t="str">
        <f t="shared" si="505"/>
        <v/>
      </c>
      <c r="X1628" s="43" t="str">
        <f t="shared" si="515"/>
        <v/>
      </c>
      <c r="Y1628" s="43" t="str">
        <f t="shared" si="509"/>
        <v/>
      </c>
    </row>
    <row r="1629" spans="1:25" hidden="1">
      <c r="A1629" s="155" t="s">
        <v>183</v>
      </c>
      <c r="B1629" s="156"/>
      <c r="C1629" s="411" t="s">
        <v>314</v>
      </c>
      <c r="D1629" s="351"/>
      <c r="E1629" s="405">
        <v>180</v>
      </c>
      <c r="F1629" s="406">
        <f>VLOOKUP(C1627,'ENSAIOS DE ORÇAMENTO'!$C$3:$L$79,5,FALSE)</f>
        <v>1.28653</v>
      </c>
      <c r="G1629" s="158">
        <f t="shared" ref="G1629:G1631" si="529">IF(E1629&lt;=30,(0.6*E1629+1.25)*F1629,((0.6*30+1.25)+0.5*(E1629-30))*F1629)</f>
        <v>121.25545249999999</v>
      </c>
      <c r="H1629" s="465"/>
      <c r="I1629" s="465"/>
      <c r="J1629" s="407">
        <f t="shared" si="507"/>
        <v>0</v>
      </c>
      <c r="K1629" s="408"/>
      <c r="L1629" s="152">
        <v>0</v>
      </c>
      <c r="M1629" s="213"/>
      <c r="N1629" s="402">
        <f t="shared" si="518"/>
        <v>0</v>
      </c>
      <c r="O1629" s="402">
        <f t="shared" si="519"/>
        <v>0</v>
      </c>
      <c r="P1629" s="403"/>
      <c r="Q1629" s="464"/>
      <c r="R1629" s="464"/>
      <c r="S1629" s="402">
        <f t="shared" si="520"/>
        <v>0</v>
      </c>
      <c r="T1629" s="404">
        <f t="shared" si="513"/>
        <v>0</v>
      </c>
      <c r="U1629" s="403"/>
      <c r="V1629" s="160" t="str">
        <f>IF(T1627&gt;0,"xx",IF(O1627&gt;0,"xy",""))</f>
        <v/>
      </c>
      <c r="W1629" s="43" t="str">
        <f t="shared" si="505"/>
        <v/>
      </c>
      <c r="X1629" s="43" t="str">
        <f t="shared" si="515"/>
        <v/>
      </c>
      <c r="Y1629" s="43" t="str">
        <f t="shared" si="509"/>
        <v/>
      </c>
    </row>
    <row r="1630" spans="1:25" hidden="1">
      <c r="A1630" s="155" t="s">
        <v>183</v>
      </c>
      <c r="B1630" s="156"/>
      <c r="C1630" s="411" t="s">
        <v>323</v>
      </c>
      <c r="D1630" s="351"/>
      <c r="E1630" s="405">
        <v>20</v>
      </c>
      <c r="F1630" s="406">
        <f>VLOOKUP(C1627,'ENSAIOS DE ORÇAMENTO'!$C$3:$L$79,6,FALSE)</f>
        <v>1.5262500000000001</v>
      </c>
      <c r="G1630" s="158">
        <f t="shared" si="529"/>
        <v>20.2228125</v>
      </c>
      <c r="H1630" s="465"/>
      <c r="I1630" s="465"/>
      <c r="J1630" s="407">
        <f t="shared" si="507"/>
        <v>0</v>
      </c>
      <c r="K1630" s="408"/>
      <c r="L1630" s="152">
        <v>0</v>
      </c>
      <c r="M1630" s="213"/>
      <c r="N1630" s="402">
        <f t="shared" si="518"/>
        <v>0</v>
      </c>
      <c r="O1630" s="402">
        <f t="shared" si="519"/>
        <v>0</v>
      </c>
      <c r="P1630" s="403"/>
      <c r="Q1630" s="464"/>
      <c r="R1630" s="464"/>
      <c r="S1630" s="402">
        <f t="shared" si="520"/>
        <v>0</v>
      </c>
      <c r="T1630" s="404">
        <f t="shared" si="513"/>
        <v>0</v>
      </c>
      <c r="U1630" s="403"/>
      <c r="V1630" s="160" t="str">
        <f>IF(T1627&gt;0,"xx",IF(O1627&gt;0,"xy",""))</f>
        <v/>
      </c>
      <c r="W1630" s="43" t="str">
        <f t="shared" si="505"/>
        <v/>
      </c>
      <c r="X1630" s="43" t="str">
        <f t="shared" si="515"/>
        <v/>
      </c>
      <c r="Y1630" s="43" t="str">
        <f t="shared" si="509"/>
        <v/>
      </c>
    </row>
    <row r="1631" spans="1:25" hidden="1">
      <c r="A1631" s="155" t="s">
        <v>183</v>
      </c>
      <c r="B1631" s="156"/>
      <c r="C1631" s="411" t="s">
        <v>511</v>
      </c>
      <c r="D1631" s="351"/>
      <c r="E1631" s="405">
        <v>30</v>
      </c>
      <c r="F1631" s="406">
        <f>VLOOKUP(C1627,'ENSAIOS DE ORÇAMENTO'!$C$3:$L$79,3,FALSE)</f>
        <v>0</v>
      </c>
      <c r="G1631" s="158">
        <f t="shared" si="529"/>
        <v>0</v>
      </c>
      <c r="H1631" s="465"/>
      <c r="I1631" s="465"/>
      <c r="J1631" s="407">
        <f t="shared" si="507"/>
        <v>0</v>
      </c>
      <c r="K1631" s="408"/>
      <c r="L1631" s="152">
        <v>0</v>
      </c>
      <c r="M1631" s="213"/>
      <c r="N1631" s="402">
        <f t="shared" si="518"/>
        <v>0</v>
      </c>
      <c r="O1631" s="402">
        <f t="shared" si="519"/>
        <v>0</v>
      </c>
      <c r="P1631" s="403"/>
      <c r="Q1631" s="464"/>
      <c r="R1631" s="464"/>
      <c r="S1631" s="402">
        <f t="shared" si="520"/>
        <v>0</v>
      </c>
      <c r="T1631" s="404">
        <f t="shared" si="513"/>
        <v>0</v>
      </c>
      <c r="U1631" s="403"/>
      <c r="V1631" s="160" t="str">
        <f>IF(T1627&gt;0,"xx",IF(O1627&gt;0,"xy",""))</f>
        <v/>
      </c>
      <c r="W1631" s="43" t="str">
        <f t="shared" si="505"/>
        <v/>
      </c>
      <c r="X1631" s="43" t="str">
        <f t="shared" si="515"/>
        <v/>
      </c>
      <c r="Y1631" s="43" t="str">
        <f t="shared" si="509"/>
        <v/>
      </c>
    </row>
    <row r="1632" spans="1:25" hidden="1">
      <c r="A1632" s="155" t="s">
        <v>183</v>
      </c>
      <c r="B1632" s="156"/>
      <c r="C1632" s="411" t="s">
        <v>512</v>
      </c>
      <c r="D1632" s="351"/>
      <c r="E1632" s="405">
        <v>500</v>
      </c>
      <c r="F1632" s="406">
        <f>VLOOKUP(C1627,'ENSAIOS DE ORÇAMENTO'!$C$3:$L$79,10,FALSE)</f>
        <v>0</v>
      </c>
      <c r="G1632" s="158">
        <f t="shared" ref="G1632" si="530">IF(E1632&lt;=30,(0.42*E1632+3.55)*F1632,((0.42*30+3.55)+0.35*(E1632-30))*F1632)</f>
        <v>0</v>
      </c>
      <c r="H1632" s="465"/>
      <c r="I1632" s="465"/>
      <c r="J1632" s="407">
        <f t="shared" si="507"/>
        <v>0</v>
      </c>
      <c r="K1632" s="408"/>
      <c r="L1632" s="152">
        <v>0</v>
      </c>
      <c r="M1632" s="213"/>
      <c r="N1632" s="402">
        <f t="shared" si="518"/>
        <v>0</v>
      </c>
      <c r="O1632" s="402">
        <f t="shared" si="519"/>
        <v>0</v>
      </c>
      <c r="P1632" s="403"/>
      <c r="Q1632" s="464"/>
      <c r="R1632" s="464"/>
      <c r="S1632" s="402">
        <f t="shared" si="520"/>
        <v>0</v>
      </c>
      <c r="T1632" s="404">
        <f t="shared" si="513"/>
        <v>0</v>
      </c>
      <c r="U1632" s="403"/>
      <c r="V1632" s="160" t="str">
        <f>IF(T1627&gt;0,"xx",IF(O1627&gt;0,"xy",""))</f>
        <v/>
      </c>
      <c r="W1632" s="43" t="str">
        <f t="shared" si="505"/>
        <v/>
      </c>
      <c r="X1632" s="43" t="str">
        <f t="shared" si="515"/>
        <v/>
      </c>
      <c r="Y1632" s="43" t="str">
        <f t="shared" si="509"/>
        <v/>
      </c>
    </row>
    <row r="1633" spans="1:25" hidden="1">
      <c r="A1633" s="155" t="s">
        <v>152</v>
      </c>
      <c r="B1633" s="156" t="s">
        <v>242</v>
      </c>
      <c r="C1633" s="411" t="s">
        <v>168</v>
      </c>
      <c r="D1633" s="351"/>
      <c r="E1633" s="405"/>
      <c r="F1633" s="406"/>
      <c r="G1633" s="158">
        <f>SUM(G1634:G1638)</f>
        <v>255.490725</v>
      </c>
      <c r="H1633" s="465">
        <f>VLOOKUP(C1633,'ENSAIOS DE ORÇAMENTO'!$C$3:$L$79,8,FALSE)</f>
        <v>2474.9983999999999</v>
      </c>
      <c r="I1633" s="465">
        <f>IF(ISBLANK(H1633),"",SUM(G1633:H1633))*0.95</f>
        <v>2593.9646687499999</v>
      </c>
      <c r="J1633" s="407">
        <f t="shared" si="507"/>
        <v>3289.15</v>
      </c>
      <c r="K1633" s="408" t="s">
        <v>23</v>
      </c>
      <c r="L1633" s="152">
        <v>0</v>
      </c>
      <c r="M1633" s="152"/>
      <c r="N1633" s="402">
        <f t="shared" si="518"/>
        <v>0</v>
      </c>
      <c r="O1633" s="402">
        <f t="shared" si="519"/>
        <v>0</v>
      </c>
      <c r="P1633" s="403"/>
      <c r="Q1633" s="152">
        <f t="shared" si="526"/>
        <v>0</v>
      </c>
      <c r="R1633" s="152">
        <f t="shared" si="526"/>
        <v>0</v>
      </c>
      <c r="S1633" s="402">
        <f t="shared" si="520"/>
        <v>0</v>
      </c>
      <c r="T1633" s="404">
        <f t="shared" si="513"/>
        <v>0</v>
      </c>
      <c r="U1633" s="403"/>
      <c r="W1633" s="43" t="str">
        <f t="shared" si="505"/>
        <v/>
      </c>
      <c r="X1633" s="43" t="str">
        <f t="shared" si="515"/>
        <v/>
      </c>
      <c r="Y1633" s="43" t="str">
        <f t="shared" si="509"/>
        <v/>
      </c>
    </row>
    <row r="1634" spans="1:25" hidden="1">
      <c r="A1634" s="155" t="s">
        <v>183</v>
      </c>
      <c r="B1634" s="156"/>
      <c r="C1634" s="411" t="s">
        <v>251</v>
      </c>
      <c r="D1634" s="351"/>
      <c r="E1634" s="405">
        <v>500</v>
      </c>
      <c r="F1634" s="406">
        <f>VLOOKUP(C1633,'ENSAIOS DE ORÇAMENTO'!$C$3:$L$79,4,FALSE)</f>
        <v>0.50749999999999995</v>
      </c>
      <c r="G1634" s="158">
        <f>IF(E1634&lt;=30,(0.42*E1634+3.55)*F1634,((0.42*30+3.55)+0.35*(E1634-30))*F1634)</f>
        <v>91.679874999999996</v>
      </c>
      <c r="H1634" s="465"/>
      <c r="I1634" s="465"/>
      <c r="J1634" s="407">
        <f t="shared" si="507"/>
        <v>0</v>
      </c>
      <c r="K1634" s="408"/>
      <c r="L1634" s="152">
        <v>0</v>
      </c>
      <c r="M1634" s="213"/>
      <c r="N1634" s="402">
        <f t="shared" si="518"/>
        <v>0</v>
      </c>
      <c r="O1634" s="402">
        <f t="shared" si="519"/>
        <v>0</v>
      </c>
      <c r="P1634" s="403"/>
      <c r="Q1634" s="464"/>
      <c r="R1634" s="464"/>
      <c r="S1634" s="402">
        <f t="shared" si="520"/>
        <v>0</v>
      </c>
      <c r="T1634" s="404">
        <f t="shared" si="513"/>
        <v>0</v>
      </c>
      <c r="U1634" s="403"/>
      <c r="V1634" s="160" t="str">
        <f>IF(T1633&gt;0,"xx",IF(O1633&gt;0,"xy",""))</f>
        <v/>
      </c>
      <c r="W1634" s="43" t="str">
        <f t="shared" si="505"/>
        <v/>
      </c>
      <c r="X1634" s="43" t="str">
        <f t="shared" si="515"/>
        <v/>
      </c>
      <c r="Y1634" s="43" t="str">
        <f t="shared" si="509"/>
        <v/>
      </c>
    </row>
    <row r="1635" spans="1:25" hidden="1">
      <c r="A1635" s="155" t="s">
        <v>183</v>
      </c>
      <c r="B1635" s="156"/>
      <c r="C1635" s="411" t="s">
        <v>314</v>
      </c>
      <c r="D1635" s="351"/>
      <c r="E1635" s="405">
        <v>180</v>
      </c>
      <c r="F1635" s="406">
        <f>VLOOKUP(C1633,'ENSAIOS DE ORÇAMENTO'!$C$3:$L$79,5,FALSE)</f>
        <v>1.48915</v>
      </c>
      <c r="G1635" s="158">
        <f t="shared" ref="G1635:G1637" si="531">IF(E1635&lt;=30,(0.6*E1635+1.25)*F1635,((0.6*30+1.25)+0.5*(E1635-30))*F1635)</f>
        <v>140.35238749999999</v>
      </c>
      <c r="H1635" s="465"/>
      <c r="I1635" s="465"/>
      <c r="J1635" s="407">
        <f t="shared" si="507"/>
        <v>0</v>
      </c>
      <c r="K1635" s="408"/>
      <c r="L1635" s="152">
        <v>0</v>
      </c>
      <c r="M1635" s="213"/>
      <c r="N1635" s="402">
        <f t="shared" si="518"/>
        <v>0</v>
      </c>
      <c r="O1635" s="402">
        <f t="shared" si="519"/>
        <v>0</v>
      </c>
      <c r="P1635" s="403"/>
      <c r="Q1635" s="464"/>
      <c r="R1635" s="464"/>
      <c r="S1635" s="402">
        <f t="shared" si="520"/>
        <v>0</v>
      </c>
      <c r="T1635" s="404">
        <f t="shared" si="513"/>
        <v>0</v>
      </c>
      <c r="U1635" s="403"/>
      <c r="V1635" s="160" t="str">
        <f>IF(T1633&gt;0,"xx",IF(O1633&gt;0,"xy",""))</f>
        <v/>
      </c>
      <c r="W1635" s="43" t="str">
        <f t="shared" si="505"/>
        <v/>
      </c>
      <c r="X1635" s="43" t="str">
        <f t="shared" si="515"/>
        <v/>
      </c>
      <c r="Y1635" s="43" t="str">
        <f t="shared" si="509"/>
        <v/>
      </c>
    </row>
    <row r="1636" spans="1:25" hidden="1">
      <c r="A1636" s="155" t="s">
        <v>183</v>
      </c>
      <c r="B1636" s="156"/>
      <c r="C1636" s="411" t="s">
        <v>323</v>
      </c>
      <c r="D1636" s="351"/>
      <c r="E1636" s="405">
        <v>20</v>
      </c>
      <c r="F1636" s="406">
        <f>VLOOKUP(C1633,'ENSAIOS DE ORÇAMENTO'!$C$3:$L$79,6,FALSE)</f>
        <v>1.7704500000000001</v>
      </c>
      <c r="G1636" s="158">
        <f t="shared" si="531"/>
        <v>23.4584625</v>
      </c>
      <c r="H1636" s="465"/>
      <c r="I1636" s="465"/>
      <c r="J1636" s="407">
        <f t="shared" si="507"/>
        <v>0</v>
      </c>
      <c r="K1636" s="408"/>
      <c r="L1636" s="152">
        <v>0</v>
      </c>
      <c r="M1636" s="213"/>
      <c r="N1636" s="402">
        <f t="shared" si="518"/>
        <v>0</v>
      </c>
      <c r="O1636" s="402">
        <f t="shared" si="519"/>
        <v>0</v>
      </c>
      <c r="P1636" s="403"/>
      <c r="Q1636" s="464"/>
      <c r="R1636" s="464"/>
      <c r="S1636" s="402">
        <f t="shared" si="520"/>
        <v>0</v>
      </c>
      <c r="T1636" s="404">
        <f t="shared" si="513"/>
        <v>0</v>
      </c>
      <c r="U1636" s="403"/>
      <c r="V1636" s="160" t="str">
        <f>IF(T1633&gt;0,"xx",IF(O1633&gt;0,"xy",""))</f>
        <v/>
      </c>
      <c r="W1636" s="43" t="str">
        <f t="shared" si="505"/>
        <v/>
      </c>
      <c r="X1636" s="43" t="str">
        <f t="shared" si="515"/>
        <v/>
      </c>
      <c r="Y1636" s="43" t="str">
        <f t="shared" si="509"/>
        <v/>
      </c>
    </row>
    <row r="1637" spans="1:25" hidden="1">
      <c r="A1637" s="155" t="s">
        <v>183</v>
      </c>
      <c r="B1637" s="156"/>
      <c r="C1637" s="411" t="s">
        <v>511</v>
      </c>
      <c r="D1637" s="351"/>
      <c r="E1637" s="405">
        <v>30</v>
      </c>
      <c r="F1637" s="406">
        <f>VLOOKUP(C1633,'ENSAIOS DE ORÇAMENTO'!$C$3:$L$79,3,FALSE)</f>
        <v>0</v>
      </c>
      <c r="G1637" s="158">
        <f t="shared" si="531"/>
        <v>0</v>
      </c>
      <c r="H1637" s="465"/>
      <c r="I1637" s="465"/>
      <c r="J1637" s="407">
        <f t="shared" si="507"/>
        <v>0</v>
      </c>
      <c r="K1637" s="408"/>
      <c r="L1637" s="152">
        <v>0</v>
      </c>
      <c r="M1637" s="213"/>
      <c r="N1637" s="402">
        <f t="shared" si="518"/>
        <v>0</v>
      </c>
      <c r="O1637" s="402">
        <f t="shared" si="519"/>
        <v>0</v>
      </c>
      <c r="P1637" s="403"/>
      <c r="Q1637" s="464"/>
      <c r="R1637" s="464"/>
      <c r="S1637" s="402">
        <f t="shared" si="520"/>
        <v>0</v>
      </c>
      <c r="T1637" s="404">
        <f t="shared" si="513"/>
        <v>0</v>
      </c>
      <c r="U1637" s="403"/>
      <c r="V1637" s="160" t="str">
        <f>IF(T1633&gt;0,"xx",IF(O1633&gt;0,"xy",""))</f>
        <v/>
      </c>
      <c r="W1637" s="43" t="str">
        <f t="shared" si="505"/>
        <v/>
      </c>
      <c r="X1637" s="43" t="str">
        <f t="shared" si="515"/>
        <v/>
      </c>
      <c r="Y1637" s="43" t="str">
        <f t="shared" si="509"/>
        <v/>
      </c>
    </row>
    <row r="1638" spans="1:25" hidden="1">
      <c r="A1638" s="155" t="s">
        <v>183</v>
      </c>
      <c r="B1638" s="156"/>
      <c r="C1638" s="411" t="s">
        <v>512</v>
      </c>
      <c r="D1638" s="351"/>
      <c r="E1638" s="405">
        <v>500</v>
      </c>
      <c r="F1638" s="406">
        <f>VLOOKUP(C1633,'ENSAIOS DE ORÇAMENTO'!$C$3:$L$79,10,FALSE)</f>
        <v>0</v>
      </c>
      <c r="G1638" s="158">
        <f t="shared" ref="G1638" si="532">IF(E1638&lt;=30,(0.42*E1638+3.55)*F1638,((0.42*30+3.55)+0.35*(E1638-30))*F1638)</f>
        <v>0</v>
      </c>
      <c r="H1638" s="465"/>
      <c r="I1638" s="465"/>
      <c r="J1638" s="407">
        <f t="shared" si="507"/>
        <v>0</v>
      </c>
      <c r="K1638" s="408"/>
      <c r="L1638" s="152">
        <v>0</v>
      </c>
      <c r="M1638" s="213"/>
      <c r="N1638" s="402">
        <f t="shared" si="518"/>
        <v>0</v>
      </c>
      <c r="O1638" s="402">
        <f t="shared" si="519"/>
        <v>0</v>
      </c>
      <c r="P1638" s="403"/>
      <c r="Q1638" s="464"/>
      <c r="R1638" s="464"/>
      <c r="S1638" s="402">
        <f t="shared" si="520"/>
        <v>0</v>
      </c>
      <c r="T1638" s="404">
        <f t="shared" si="513"/>
        <v>0</v>
      </c>
      <c r="U1638" s="403"/>
      <c r="V1638" s="160" t="str">
        <f>IF(T1633&gt;0,"xx",IF(O1633&gt;0,"xy",""))</f>
        <v/>
      </c>
      <c r="W1638" s="43" t="str">
        <f t="shared" si="505"/>
        <v/>
      </c>
      <c r="X1638" s="43" t="str">
        <f t="shared" si="515"/>
        <v/>
      </c>
      <c r="Y1638" s="43" t="str">
        <f t="shared" si="509"/>
        <v/>
      </c>
    </row>
    <row r="1639" spans="1:25" hidden="1">
      <c r="A1639" s="155" t="s">
        <v>50</v>
      </c>
      <c r="B1639" s="156" t="s">
        <v>242</v>
      </c>
      <c r="C1639" s="411" t="s">
        <v>169</v>
      </c>
      <c r="D1639" s="351"/>
      <c r="E1639" s="405"/>
      <c r="F1639" s="406"/>
      <c r="G1639" s="158">
        <f>SUM(G1640:G1644)</f>
        <v>323.70978750000006</v>
      </c>
      <c r="H1639" s="465">
        <f>VLOOKUP(C1639,'ENSAIOS DE ORÇAMENTO'!$C$3:$L$79,8,FALSE)</f>
        <v>2973.79565</v>
      </c>
      <c r="I1639" s="465">
        <f>IF(ISBLANK(H1639),"",SUM(G1639:H1639))*0.9</f>
        <v>2967.7548937500001</v>
      </c>
      <c r="J1639" s="407">
        <f t="shared" si="507"/>
        <v>3763.11</v>
      </c>
      <c r="K1639" s="408" t="s">
        <v>23</v>
      </c>
      <c r="L1639" s="152">
        <v>0</v>
      </c>
      <c r="M1639" s="152"/>
      <c r="N1639" s="402">
        <f t="shared" si="518"/>
        <v>0</v>
      </c>
      <c r="O1639" s="402">
        <f t="shared" si="519"/>
        <v>0</v>
      </c>
      <c r="P1639" s="403"/>
      <c r="Q1639" s="152">
        <f t="shared" si="526"/>
        <v>0</v>
      </c>
      <c r="R1639" s="152">
        <f t="shared" si="526"/>
        <v>0</v>
      </c>
      <c r="S1639" s="402">
        <f t="shared" si="520"/>
        <v>0</v>
      </c>
      <c r="T1639" s="404">
        <f t="shared" si="513"/>
        <v>0</v>
      </c>
      <c r="U1639" s="403"/>
      <c r="W1639" s="43" t="str">
        <f t="shared" si="505"/>
        <v/>
      </c>
      <c r="X1639" s="43" t="str">
        <f t="shared" si="515"/>
        <v/>
      </c>
      <c r="Y1639" s="43" t="str">
        <f t="shared" si="509"/>
        <v/>
      </c>
    </row>
    <row r="1640" spans="1:25" hidden="1">
      <c r="A1640" s="155" t="s">
        <v>183</v>
      </c>
      <c r="B1640" s="156"/>
      <c r="C1640" s="411" t="s">
        <v>251</v>
      </c>
      <c r="D1640" s="351"/>
      <c r="E1640" s="405">
        <v>500</v>
      </c>
      <c r="F1640" s="406">
        <f>VLOOKUP(C1639,'ENSAIOS DE ORÇAMENTO'!$C$3:$L$79,4,FALSE)</f>
        <v>0.64450000000000007</v>
      </c>
      <c r="G1640" s="158">
        <f>IF(E1640&lt;=30,(0.42*E1640+3.55)*F1640,((0.42*30+3.55)+0.35*(E1640-30))*F1640)</f>
        <v>116.42892500000002</v>
      </c>
      <c r="H1640" s="465"/>
      <c r="I1640" s="465"/>
      <c r="J1640" s="407">
        <f t="shared" si="507"/>
        <v>0</v>
      </c>
      <c r="K1640" s="408"/>
      <c r="L1640" s="152">
        <v>0</v>
      </c>
      <c r="M1640" s="213"/>
      <c r="N1640" s="402">
        <f t="shared" si="518"/>
        <v>0</v>
      </c>
      <c r="O1640" s="402">
        <f t="shared" si="519"/>
        <v>0</v>
      </c>
      <c r="P1640" s="403"/>
      <c r="Q1640" s="464"/>
      <c r="R1640" s="464"/>
      <c r="S1640" s="402">
        <f t="shared" si="520"/>
        <v>0</v>
      </c>
      <c r="T1640" s="404">
        <f t="shared" si="513"/>
        <v>0</v>
      </c>
      <c r="U1640" s="403"/>
      <c r="V1640" s="160" t="str">
        <f>IF(T1639&gt;0,"xx",IF(O1639&gt;0,"xy",""))</f>
        <v/>
      </c>
      <c r="W1640" s="43" t="str">
        <f t="shared" si="505"/>
        <v/>
      </c>
      <c r="X1640" s="43" t="str">
        <f t="shared" si="515"/>
        <v/>
      </c>
      <c r="Y1640" s="43" t="str">
        <f t="shared" si="509"/>
        <v/>
      </c>
    </row>
    <row r="1641" spans="1:25" hidden="1">
      <c r="A1641" s="155" t="s">
        <v>183</v>
      </c>
      <c r="B1641" s="156"/>
      <c r="C1641" s="411" t="s">
        <v>314</v>
      </c>
      <c r="D1641" s="351"/>
      <c r="E1641" s="405">
        <v>180</v>
      </c>
      <c r="F1641" s="406">
        <f>VLOOKUP(C1639,'ENSAIOS DE ORÇAMENTO'!$C$3:$L$79,5,FALSE)</f>
        <v>1.8840500000000002</v>
      </c>
      <c r="G1641" s="158">
        <f t="shared" ref="G1641:G1643" si="533">IF(E1641&lt;=30,(0.6*E1641+1.25)*F1641,((0.6*30+1.25)+0.5*(E1641-30))*F1641)</f>
        <v>177.57171250000002</v>
      </c>
      <c r="H1641" s="465"/>
      <c r="I1641" s="465"/>
      <c r="J1641" s="407">
        <f t="shared" si="507"/>
        <v>0</v>
      </c>
      <c r="K1641" s="408"/>
      <c r="L1641" s="152">
        <v>0</v>
      </c>
      <c r="M1641" s="213"/>
      <c r="N1641" s="402">
        <f t="shared" si="518"/>
        <v>0</v>
      </c>
      <c r="O1641" s="402">
        <f t="shared" si="519"/>
        <v>0</v>
      </c>
      <c r="P1641" s="403"/>
      <c r="Q1641" s="464"/>
      <c r="R1641" s="464"/>
      <c r="S1641" s="402">
        <f t="shared" si="520"/>
        <v>0</v>
      </c>
      <c r="T1641" s="404">
        <f t="shared" si="513"/>
        <v>0</v>
      </c>
      <c r="U1641" s="403"/>
      <c r="V1641" s="160" t="str">
        <f>IF(T1639&gt;0,"xx",IF(O1639&gt;0,"xy",""))</f>
        <v/>
      </c>
      <c r="W1641" s="43" t="str">
        <f t="shared" si="505"/>
        <v/>
      </c>
      <c r="X1641" s="43" t="str">
        <f t="shared" si="515"/>
        <v/>
      </c>
      <c r="Y1641" s="43" t="str">
        <f t="shared" si="509"/>
        <v/>
      </c>
    </row>
    <row r="1642" spans="1:25" hidden="1">
      <c r="A1642" s="155" t="s">
        <v>183</v>
      </c>
      <c r="B1642" s="156"/>
      <c r="C1642" s="411" t="s">
        <v>323</v>
      </c>
      <c r="D1642" s="351"/>
      <c r="E1642" s="405">
        <v>20</v>
      </c>
      <c r="F1642" s="406">
        <f>VLOOKUP(C1639,'ENSAIOS DE ORÇAMENTO'!$C$3:$L$79,6,FALSE)</f>
        <v>2.2422</v>
      </c>
      <c r="G1642" s="158">
        <f t="shared" si="533"/>
        <v>29.709150000000001</v>
      </c>
      <c r="H1642" s="465"/>
      <c r="I1642" s="465"/>
      <c r="J1642" s="407">
        <f t="shared" si="507"/>
        <v>0</v>
      </c>
      <c r="K1642" s="408"/>
      <c r="L1642" s="152">
        <v>0</v>
      </c>
      <c r="M1642" s="213"/>
      <c r="N1642" s="402">
        <f t="shared" si="518"/>
        <v>0</v>
      </c>
      <c r="O1642" s="402">
        <f t="shared" si="519"/>
        <v>0</v>
      </c>
      <c r="P1642" s="403"/>
      <c r="Q1642" s="464"/>
      <c r="R1642" s="464"/>
      <c r="S1642" s="402">
        <f t="shared" si="520"/>
        <v>0</v>
      </c>
      <c r="T1642" s="404">
        <f t="shared" si="513"/>
        <v>0</v>
      </c>
      <c r="U1642" s="403"/>
      <c r="V1642" s="160" t="str">
        <f>IF(T1639&gt;0,"xx",IF(O1639&gt;0,"xy",""))</f>
        <v/>
      </c>
      <c r="W1642" s="43" t="str">
        <f t="shared" si="505"/>
        <v/>
      </c>
      <c r="X1642" s="43" t="str">
        <f t="shared" si="515"/>
        <v/>
      </c>
      <c r="Y1642" s="43" t="str">
        <f t="shared" si="509"/>
        <v/>
      </c>
    </row>
    <row r="1643" spans="1:25" hidden="1">
      <c r="A1643" s="155" t="s">
        <v>183</v>
      </c>
      <c r="B1643" s="156"/>
      <c r="C1643" s="411" t="s">
        <v>511</v>
      </c>
      <c r="D1643" s="351"/>
      <c r="E1643" s="405">
        <v>30</v>
      </c>
      <c r="F1643" s="406">
        <f>VLOOKUP(C1639,'ENSAIOS DE ORÇAMENTO'!$C$3:$L$79,3,FALSE)</f>
        <v>0</v>
      </c>
      <c r="G1643" s="158">
        <f t="shared" si="533"/>
        <v>0</v>
      </c>
      <c r="H1643" s="465"/>
      <c r="I1643" s="465"/>
      <c r="J1643" s="407">
        <f t="shared" si="507"/>
        <v>0</v>
      </c>
      <c r="K1643" s="408"/>
      <c r="L1643" s="152">
        <v>0</v>
      </c>
      <c r="M1643" s="213"/>
      <c r="N1643" s="402">
        <f t="shared" si="518"/>
        <v>0</v>
      </c>
      <c r="O1643" s="402">
        <f t="shared" si="519"/>
        <v>0</v>
      </c>
      <c r="P1643" s="403"/>
      <c r="Q1643" s="464"/>
      <c r="R1643" s="464"/>
      <c r="S1643" s="402">
        <f t="shared" si="520"/>
        <v>0</v>
      </c>
      <c r="T1643" s="404">
        <f t="shared" si="513"/>
        <v>0</v>
      </c>
      <c r="U1643" s="403"/>
      <c r="V1643" s="160" t="str">
        <f>IF(T1639&gt;0,"xx",IF(O1639&gt;0,"xy",""))</f>
        <v/>
      </c>
      <c r="W1643" s="43" t="str">
        <f t="shared" si="505"/>
        <v/>
      </c>
      <c r="X1643" s="43" t="str">
        <f t="shared" si="515"/>
        <v/>
      </c>
      <c r="Y1643" s="43" t="str">
        <f t="shared" si="509"/>
        <v/>
      </c>
    </row>
    <row r="1644" spans="1:25" hidden="1">
      <c r="A1644" s="155" t="s">
        <v>183</v>
      </c>
      <c r="B1644" s="156"/>
      <c r="C1644" s="411" t="s">
        <v>512</v>
      </c>
      <c r="D1644" s="351"/>
      <c r="E1644" s="405">
        <v>500</v>
      </c>
      <c r="F1644" s="406">
        <f>VLOOKUP(C1639,'ENSAIOS DE ORÇAMENTO'!$C$3:$L$79,10,FALSE)</f>
        <v>0</v>
      </c>
      <c r="G1644" s="158">
        <f t="shared" ref="G1644" si="534">IF(E1644&lt;=30,(0.42*E1644+3.55)*F1644,((0.42*30+3.55)+0.35*(E1644-30))*F1644)</f>
        <v>0</v>
      </c>
      <c r="H1644" s="465"/>
      <c r="I1644" s="465"/>
      <c r="J1644" s="407">
        <f t="shared" si="507"/>
        <v>0</v>
      </c>
      <c r="K1644" s="408"/>
      <c r="L1644" s="152">
        <v>0</v>
      </c>
      <c r="M1644" s="213"/>
      <c r="N1644" s="402">
        <f t="shared" si="518"/>
        <v>0</v>
      </c>
      <c r="O1644" s="402">
        <f t="shared" si="519"/>
        <v>0</v>
      </c>
      <c r="P1644" s="403"/>
      <c r="Q1644" s="464"/>
      <c r="R1644" s="464"/>
      <c r="S1644" s="402">
        <f t="shared" si="520"/>
        <v>0</v>
      </c>
      <c r="T1644" s="404">
        <f t="shared" si="513"/>
        <v>0</v>
      </c>
      <c r="U1644" s="403"/>
      <c r="V1644" s="160" t="str">
        <f>IF(T1639&gt;0,"xx",IF(O1639&gt;0,"xy",""))</f>
        <v/>
      </c>
      <c r="W1644" s="43" t="str">
        <f t="shared" si="505"/>
        <v/>
      </c>
      <c r="X1644" s="43" t="str">
        <f t="shared" si="515"/>
        <v/>
      </c>
      <c r="Y1644" s="43" t="str">
        <f t="shared" si="509"/>
        <v/>
      </c>
    </row>
    <row r="1645" spans="1:25" hidden="1">
      <c r="A1645" s="155" t="s">
        <v>153</v>
      </c>
      <c r="B1645" s="156" t="s">
        <v>242</v>
      </c>
      <c r="C1645" s="411" t="s">
        <v>170</v>
      </c>
      <c r="D1645" s="351"/>
      <c r="E1645" s="405"/>
      <c r="F1645" s="406"/>
      <c r="G1645" s="158">
        <f>SUM(G1646:G1650)</f>
        <v>405.82724250000001</v>
      </c>
      <c r="H1645" s="465">
        <f>VLOOKUP(C1645,'ENSAIOS DE ORÇAMENTO'!$C$3:$L$79,8,FALSE)</f>
        <v>3574.2713699999995</v>
      </c>
      <c r="I1645" s="465">
        <f>IF(ISBLANK(H1645),"",SUM(G1645:H1645))*0.85</f>
        <v>3383.0838206249996</v>
      </c>
      <c r="J1645" s="407">
        <f t="shared" si="507"/>
        <v>4289.75</v>
      </c>
      <c r="K1645" s="408" t="s">
        <v>23</v>
      </c>
      <c r="L1645" s="152">
        <v>0</v>
      </c>
      <c r="M1645" s="152"/>
      <c r="N1645" s="402">
        <f t="shared" si="518"/>
        <v>0</v>
      </c>
      <c r="O1645" s="402">
        <f t="shared" si="519"/>
        <v>0</v>
      </c>
      <c r="P1645" s="403"/>
      <c r="Q1645" s="152">
        <f t="shared" si="526"/>
        <v>0</v>
      </c>
      <c r="R1645" s="152">
        <f t="shared" si="526"/>
        <v>0</v>
      </c>
      <c r="S1645" s="402">
        <f t="shared" si="520"/>
        <v>0</v>
      </c>
      <c r="T1645" s="404">
        <f t="shared" si="513"/>
        <v>0</v>
      </c>
      <c r="U1645" s="403"/>
      <c r="W1645" s="43" t="str">
        <f t="shared" ref="W1645:W1708" si="535">IF(V1645="X","x",IF(V1645="xx","x",IF(V1645="xy","x",IF(V1645="y","x",IF(OR(O1645&gt;0,T1645&gt;0),"x","")))))</f>
        <v/>
      </c>
      <c r="X1645" s="43" t="str">
        <f t="shared" si="515"/>
        <v/>
      </c>
      <c r="Y1645" s="43" t="str">
        <f t="shared" si="509"/>
        <v/>
      </c>
    </row>
    <row r="1646" spans="1:25" hidden="1">
      <c r="A1646" s="155" t="s">
        <v>183</v>
      </c>
      <c r="B1646" s="156"/>
      <c r="C1646" s="411" t="s">
        <v>251</v>
      </c>
      <c r="D1646" s="351"/>
      <c r="E1646" s="405">
        <v>500</v>
      </c>
      <c r="F1646" s="406">
        <f>VLOOKUP(C1645,'ENSAIOS DE ORÇAMENTO'!$C$3:$L$79,4,FALSE)</f>
        <v>0.81040000000000001</v>
      </c>
      <c r="G1646" s="158">
        <f>IF(E1646&lt;=30,(0.42*E1646+3.55)*F1646,((0.42*30+3.55)+0.35*(E1646-30))*F1646)</f>
        <v>146.39876000000001</v>
      </c>
      <c r="H1646" s="465"/>
      <c r="I1646" s="465"/>
      <c r="J1646" s="407">
        <f t="shared" si="507"/>
        <v>0</v>
      </c>
      <c r="K1646" s="408"/>
      <c r="L1646" s="152">
        <v>0</v>
      </c>
      <c r="M1646" s="213"/>
      <c r="N1646" s="402">
        <f t="shared" si="518"/>
        <v>0</v>
      </c>
      <c r="O1646" s="402">
        <f t="shared" si="519"/>
        <v>0</v>
      </c>
      <c r="P1646" s="403"/>
      <c r="Q1646" s="464"/>
      <c r="R1646" s="464"/>
      <c r="S1646" s="402">
        <f t="shared" si="520"/>
        <v>0</v>
      </c>
      <c r="T1646" s="404">
        <f t="shared" si="513"/>
        <v>0</v>
      </c>
      <c r="U1646" s="403"/>
      <c r="V1646" s="160" t="str">
        <f>IF(T1645&gt;0,"xx",IF(O1645&gt;0,"xy",""))</f>
        <v/>
      </c>
      <c r="W1646" s="43" t="str">
        <f t="shared" si="535"/>
        <v/>
      </c>
      <c r="X1646" s="43" t="str">
        <f t="shared" si="515"/>
        <v/>
      </c>
      <c r="Y1646" s="43" t="str">
        <f t="shared" si="509"/>
        <v/>
      </c>
    </row>
    <row r="1647" spans="1:25" hidden="1">
      <c r="A1647" s="155" t="s">
        <v>183</v>
      </c>
      <c r="B1647" s="156"/>
      <c r="C1647" s="411" t="s">
        <v>314</v>
      </c>
      <c r="D1647" s="351"/>
      <c r="E1647" s="405">
        <v>180</v>
      </c>
      <c r="F1647" s="406">
        <f>VLOOKUP(C1645,'ENSAIOS DE ORÇAMENTO'!$C$3:$L$79,5,FALSE)</f>
        <v>2.3575999999999997</v>
      </c>
      <c r="G1647" s="158">
        <f t="shared" ref="G1647:G1649" si="536">IF(E1647&lt;=30,(0.6*E1647+1.25)*F1647,((0.6*30+1.25)+0.5*(E1647-30))*F1647)</f>
        <v>222.20379999999997</v>
      </c>
      <c r="H1647" s="465"/>
      <c r="I1647" s="465"/>
      <c r="J1647" s="407">
        <f t="shared" si="507"/>
        <v>0</v>
      </c>
      <c r="K1647" s="408"/>
      <c r="L1647" s="152">
        <v>0</v>
      </c>
      <c r="M1647" s="213"/>
      <c r="N1647" s="402">
        <f t="shared" si="518"/>
        <v>0</v>
      </c>
      <c r="O1647" s="402">
        <f t="shared" si="519"/>
        <v>0</v>
      </c>
      <c r="P1647" s="403"/>
      <c r="Q1647" s="464"/>
      <c r="R1647" s="464"/>
      <c r="S1647" s="402">
        <f t="shared" si="520"/>
        <v>0</v>
      </c>
      <c r="T1647" s="404">
        <f t="shared" si="513"/>
        <v>0</v>
      </c>
      <c r="U1647" s="403"/>
      <c r="V1647" s="160" t="str">
        <f>IF(T1645&gt;0,"xx",IF(O1645&gt;0,"xy",""))</f>
        <v/>
      </c>
      <c r="W1647" s="43" t="str">
        <f t="shared" si="535"/>
        <v/>
      </c>
      <c r="X1647" s="43" t="str">
        <f t="shared" si="515"/>
        <v/>
      </c>
      <c r="Y1647" s="43" t="str">
        <f t="shared" si="509"/>
        <v/>
      </c>
    </row>
    <row r="1648" spans="1:25" hidden="1">
      <c r="A1648" s="155" t="s">
        <v>183</v>
      </c>
      <c r="B1648" s="156"/>
      <c r="C1648" s="411" t="s">
        <v>323</v>
      </c>
      <c r="D1648" s="351"/>
      <c r="E1648" s="405">
        <v>20</v>
      </c>
      <c r="F1648" s="406">
        <f>VLOOKUP(C1645,'ENSAIOS DE ORÇAMENTO'!$C$3:$L$79,6,FALSE)</f>
        <v>2.8094099999999997</v>
      </c>
      <c r="G1648" s="158">
        <f t="shared" si="536"/>
        <v>37.2246825</v>
      </c>
      <c r="H1648" s="465"/>
      <c r="I1648" s="465"/>
      <c r="J1648" s="407">
        <f t="shared" si="507"/>
        <v>0</v>
      </c>
      <c r="K1648" s="408"/>
      <c r="L1648" s="152">
        <v>0</v>
      </c>
      <c r="M1648" s="213"/>
      <c r="N1648" s="402">
        <f t="shared" si="518"/>
        <v>0</v>
      </c>
      <c r="O1648" s="402">
        <f t="shared" si="519"/>
        <v>0</v>
      </c>
      <c r="P1648" s="403"/>
      <c r="Q1648" s="464"/>
      <c r="R1648" s="464"/>
      <c r="S1648" s="402">
        <f t="shared" si="520"/>
        <v>0</v>
      </c>
      <c r="T1648" s="404">
        <f t="shared" si="513"/>
        <v>0</v>
      </c>
      <c r="U1648" s="403"/>
      <c r="V1648" s="160" t="str">
        <f>IF(T1645&gt;0,"xx",IF(O1645&gt;0,"xy",""))</f>
        <v/>
      </c>
      <c r="W1648" s="43" t="str">
        <f t="shared" si="535"/>
        <v/>
      </c>
      <c r="X1648" s="43" t="str">
        <f t="shared" si="515"/>
        <v/>
      </c>
      <c r="Y1648" s="43" t="str">
        <f t="shared" si="509"/>
        <v/>
      </c>
    </row>
    <row r="1649" spans="1:25" hidden="1">
      <c r="A1649" s="155" t="s">
        <v>183</v>
      </c>
      <c r="B1649" s="156"/>
      <c r="C1649" s="411" t="s">
        <v>511</v>
      </c>
      <c r="D1649" s="351"/>
      <c r="E1649" s="405">
        <v>30</v>
      </c>
      <c r="F1649" s="406">
        <f>VLOOKUP(C1645,'ENSAIOS DE ORÇAMENTO'!$C$3:$L$79,3,FALSE)</f>
        <v>0</v>
      </c>
      <c r="G1649" s="158">
        <f t="shared" si="536"/>
        <v>0</v>
      </c>
      <c r="H1649" s="465"/>
      <c r="I1649" s="465"/>
      <c r="J1649" s="407">
        <f t="shared" si="507"/>
        <v>0</v>
      </c>
      <c r="K1649" s="408"/>
      <c r="L1649" s="152">
        <v>0</v>
      </c>
      <c r="M1649" s="213"/>
      <c r="N1649" s="402">
        <f t="shared" si="518"/>
        <v>0</v>
      </c>
      <c r="O1649" s="402">
        <f t="shared" si="519"/>
        <v>0</v>
      </c>
      <c r="P1649" s="403"/>
      <c r="Q1649" s="464"/>
      <c r="R1649" s="464"/>
      <c r="S1649" s="402">
        <f t="shared" si="520"/>
        <v>0</v>
      </c>
      <c r="T1649" s="404">
        <f t="shared" si="513"/>
        <v>0</v>
      </c>
      <c r="U1649" s="403"/>
      <c r="V1649" s="160" t="str">
        <f>IF(T1645&gt;0,"xx",IF(O1645&gt;0,"xy",""))</f>
        <v/>
      </c>
      <c r="W1649" s="43" t="str">
        <f t="shared" si="535"/>
        <v/>
      </c>
      <c r="X1649" s="43" t="str">
        <f t="shared" si="515"/>
        <v/>
      </c>
      <c r="Y1649" s="43" t="str">
        <f t="shared" si="509"/>
        <v/>
      </c>
    </row>
    <row r="1650" spans="1:25" hidden="1">
      <c r="A1650" s="155" t="s">
        <v>183</v>
      </c>
      <c r="B1650" s="156"/>
      <c r="C1650" s="411" t="s">
        <v>512</v>
      </c>
      <c r="D1650" s="351"/>
      <c r="E1650" s="405">
        <v>500</v>
      </c>
      <c r="F1650" s="406">
        <f>VLOOKUP(C1645,'ENSAIOS DE ORÇAMENTO'!$C$3:$L$79,10,FALSE)</f>
        <v>0</v>
      </c>
      <c r="G1650" s="158">
        <f t="shared" ref="G1650" si="537">IF(E1650&lt;=30,(0.42*E1650+3.55)*F1650,((0.42*30+3.55)+0.35*(E1650-30))*F1650)</f>
        <v>0</v>
      </c>
      <c r="H1650" s="465"/>
      <c r="I1650" s="465"/>
      <c r="J1650" s="407">
        <f t="shared" ref="J1650:J1713" si="538">IF(ISBLANK(H1650),0,ROUND(I1650*(1+$E$10)*(1+$E$11*D1650),2))</f>
        <v>0</v>
      </c>
      <c r="K1650" s="408"/>
      <c r="L1650" s="152">
        <v>0</v>
      </c>
      <c r="M1650" s="213"/>
      <c r="N1650" s="402">
        <f t="shared" si="518"/>
        <v>0</v>
      </c>
      <c r="O1650" s="402">
        <f t="shared" si="519"/>
        <v>0</v>
      </c>
      <c r="P1650" s="403"/>
      <c r="Q1650" s="464"/>
      <c r="R1650" s="464"/>
      <c r="S1650" s="402">
        <f t="shared" si="520"/>
        <v>0</v>
      </c>
      <c r="T1650" s="404">
        <f t="shared" si="513"/>
        <v>0</v>
      </c>
      <c r="U1650" s="403"/>
      <c r="V1650" s="160" t="str">
        <f>IF(T1645&gt;0,"xx",IF(O1645&gt;0,"xy",""))</f>
        <v/>
      </c>
      <c r="W1650" s="43" t="str">
        <f t="shared" si="535"/>
        <v/>
      </c>
      <c r="X1650" s="43" t="str">
        <f t="shared" si="515"/>
        <v/>
      </c>
      <c r="Y1650" s="43" t="str">
        <f t="shared" si="509"/>
        <v/>
      </c>
    </row>
    <row r="1651" spans="1:25" hidden="1">
      <c r="A1651" s="155" t="s">
        <v>51</v>
      </c>
      <c r="B1651" s="156" t="s">
        <v>242</v>
      </c>
      <c r="C1651" s="411" t="s">
        <v>171</v>
      </c>
      <c r="D1651" s="351"/>
      <c r="E1651" s="405"/>
      <c r="F1651" s="406"/>
      <c r="G1651" s="158">
        <f>SUM(G1652:G1656)</f>
        <v>452.03884012499992</v>
      </c>
      <c r="H1651" s="465">
        <f>VLOOKUP(C1651,'ENSAIOS DE ORÇAMENTO'!$C$3:$L$79,8,FALSE)</f>
        <v>3916.4835927222216</v>
      </c>
      <c r="I1651" s="465">
        <f>IF(ISBLANK(H1651),"",SUM(G1651:H1651))*0.85</f>
        <v>3713.2440679201381</v>
      </c>
      <c r="J1651" s="407">
        <f t="shared" si="538"/>
        <v>4708.3900000000003</v>
      </c>
      <c r="K1651" s="408" t="s">
        <v>23</v>
      </c>
      <c r="L1651" s="152">
        <v>0</v>
      </c>
      <c r="M1651" s="152"/>
      <c r="N1651" s="402">
        <f t="shared" si="518"/>
        <v>0</v>
      </c>
      <c r="O1651" s="402">
        <f t="shared" si="519"/>
        <v>0</v>
      </c>
      <c r="P1651" s="403"/>
      <c r="Q1651" s="152">
        <f t="shared" si="526"/>
        <v>0</v>
      </c>
      <c r="R1651" s="152">
        <f t="shared" si="526"/>
        <v>0</v>
      </c>
      <c r="S1651" s="402">
        <f t="shared" si="520"/>
        <v>0</v>
      </c>
      <c r="T1651" s="404">
        <f t="shared" si="513"/>
        <v>0</v>
      </c>
      <c r="U1651" s="403"/>
      <c r="W1651" s="43" t="str">
        <f t="shared" si="535"/>
        <v/>
      </c>
      <c r="X1651" s="43" t="str">
        <f t="shared" si="515"/>
        <v/>
      </c>
      <c r="Y1651" s="43" t="str">
        <f t="shared" si="509"/>
        <v/>
      </c>
    </row>
    <row r="1652" spans="1:25" hidden="1">
      <c r="A1652" s="155" t="s">
        <v>183</v>
      </c>
      <c r="B1652" s="156"/>
      <c r="C1652" s="411" t="s">
        <v>251</v>
      </c>
      <c r="D1652" s="351"/>
      <c r="E1652" s="405">
        <v>500</v>
      </c>
      <c r="F1652" s="406">
        <f>VLOOKUP(C1651,'ENSAIOS DE ORÇAMENTO'!$C$3:$L$79,4,FALSE)</f>
        <v>0.9019299999999999</v>
      </c>
      <c r="G1652" s="158">
        <f>IF(E1652&lt;=30,(0.42*E1652+3.55)*F1652,((0.42*30+3.55)+0.35*(E1652-30))*F1652)</f>
        <v>162.93365449999999</v>
      </c>
      <c r="H1652" s="465"/>
      <c r="I1652" s="465"/>
      <c r="J1652" s="407">
        <f t="shared" si="538"/>
        <v>0</v>
      </c>
      <c r="K1652" s="408"/>
      <c r="L1652" s="152">
        <v>0</v>
      </c>
      <c r="M1652" s="213"/>
      <c r="N1652" s="402">
        <f t="shared" si="518"/>
        <v>0</v>
      </c>
      <c r="O1652" s="402">
        <f t="shared" si="519"/>
        <v>0</v>
      </c>
      <c r="P1652" s="403"/>
      <c r="Q1652" s="464"/>
      <c r="R1652" s="464"/>
      <c r="S1652" s="402">
        <f t="shared" si="520"/>
        <v>0</v>
      </c>
      <c r="T1652" s="404">
        <f t="shared" si="513"/>
        <v>0</v>
      </c>
      <c r="U1652" s="403"/>
      <c r="V1652" s="160" t="str">
        <f>IF(T1651&gt;0,"xx",IF(O1651&gt;0,"xy",""))</f>
        <v/>
      </c>
      <c r="W1652" s="43" t="str">
        <f t="shared" si="535"/>
        <v/>
      </c>
      <c r="X1652" s="43" t="str">
        <f t="shared" si="515"/>
        <v/>
      </c>
      <c r="Y1652" s="43" t="str">
        <f t="shared" ref="Y1652:Y1715" si="539">IF(V1652="X","x",IF(T1652&gt;0,"x",""))</f>
        <v/>
      </c>
    </row>
    <row r="1653" spans="1:25" hidden="1">
      <c r="A1653" s="155" t="s">
        <v>183</v>
      </c>
      <c r="B1653" s="156"/>
      <c r="C1653" s="411" t="s">
        <v>314</v>
      </c>
      <c r="D1653" s="351"/>
      <c r="E1653" s="405">
        <v>180</v>
      </c>
      <c r="F1653" s="406">
        <f>VLOOKUP(C1651,'ENSAIOS DE ORÇAMENTO'!$C$3:$L$79,5,FALSE)</f>
        <v>2.6274289999999998</v>
      </c>
      <c r="G1653" s="158">
        <f t="shared" ref="G1653:G1655" si="540">IF(E1653&lt;=30,(0.6*E1653+1.25)*F1653,((0.6*30+1.25)+0.5*(E1653-30))*F1653)</f>
        <v>247.63518324999998</v>
      </c>
      <c r="H1653" s="465"/>
      <c r="I1653" s="465"/>
      <c r="J1653" s="407">
        <f t="shared" si="538"/>
        <v>0</v>
      </c>
      <c r="K1653" s="408"/>
      <c r="L1653" s="152">
        <v>0</v>
      </c>
      <c r="M1653" s="213"/>
      <c r="N1653" s="402">
        <f t="shared" si="518"/>
        <v>0</v>
      </c>
      <c r="O1653" s="402">
        <f t="shared" si="519"/>
        <v>0</v>
      </c>
      <c r="P1653" s="403"/>
      <c r="Q1653" s="464"/>
      <c r="R1653" s="464"/>
      <c r="S1653" s="402">
        <f t="shared" si="520"/>
        <v>0</v>
      </c>
      <c r="T1653" s="404">
        <f t="shared" si="513"/>
        <v>0</v>
      </c>
      <c r="U1653" s="403"/>
      <c r="V1653" s="160" t="str">
        <f>IF(T1651&gt;0,"xx",IF(O1651&gt;0,"xy",""))</f>
        <v/>
      </c>
      <c r="W1653" s="43" t="str">
        <f t="shared" si="535"/>
        <v/>
      </c>
      <c r="X1653" s="43" t="str">
        <f t="shared" si="515"/>
        <v/>
      </c>
      <c r="Y1653" s="43" t="str">
        <f t="shared" si="539"/>
        <v/>
      </c>
    </row>
    <row r="1654" spans="1:25" hidden="1">
      <c r="A1654" s="155" t="s">
        <v>183</v>
      </c>
      <c r="B1654" s="156"/>
      <c r="C1654" s="411" t="s">
        <v>323</v>
      </c>
      <c r="D1654" s="351"/>
      <c r="E1654" s="405">
        <v>20</v>
      </c>
      <c r="F1654" s="406">
        <f>VLOOKUP(C1651,'ENSAIOS DE ORÇAMENTO'!$C$3:$L$79,6,FALSE)</f>
        <v>3.1298114999999997</v>
      </c>
      <c r="G1654" s="158">
        <f t="shared" si="540"/>
        <v>41.470002375</v>
      </c>
      <c r="H1654" s="465"/>
      <c r="I1654" s="465"/>
      <c r="J1654" s="407">
        <f t="shared" si="538"/>
        <v>0</v>
      </c>
      <c r="K1654" s="408"/>
      <c r="L1654" s="152">
        <v>0</v>
      </c>
      <c r="M1654" s="213"/>
      <c r="N1654" s="402">
        <f t="shared" si="518"/>
        <v>0</v>
      </c>
      <c r="O1654" s="402">
        <f t="shared" si="519"/>
        <v>0</v>
      </c>
      <c r="P1654" s="403"/>
      <c r="Q1654" s="464"/>
      <c r="R1654" s="464"/>
      <c r="S1654" s="402">
        <f t="shared" si="520"/>
        <v>0</v>
      </c>
      <c r="T1654" s="404">
        <f t="shared" si="513"/>
        <v>0</v>
      </c>
      <c r="U1654" s="403"/>
      <c r="V1654" s="160" t="str">
        <f>IF(T1651&gt;0,"xx",IF(O1651&gt;0,"xy",""))</f>
        <v/>
      </c>
      <c r="W1654" s="43" t="str">
        <f t="shared" si="535"/>
        <v/>
      </c>
      <c r="X1654" s="43" t="str">
        <f t="shared" si="515"/>
        <v/>
      </c>
      <c r="Y1654" s="43" t="str">
        <f t="shared" si="539"/>
        <v/>
      </c>
    </row>
    <row r="1655" spans="1:25" hidden="1">
      <c r="A1655" s="155" t="s">
        <v>183</v>
      </c>
      <c r="B1655" s="156"/>
      <c r="C1655" s="411" t="s">
        <v>511</v>
      </c>
      <c r="D1655" s="351"/>
      <c r="E1655" s="405">
        <v>30</v>
      </c>
      <c r="F1655" s="406">
        <f>VLOOKUP(C1651,'ENSAIOS DE ORÇAMENTO'!$C$3:$L$79,3,FALSE)</f>
        <v>0</v>
      </c>
      <c r="G1655" s="158">
        <f t="shared" si="540"/>
        <v>0</v>
      </c>
      <c r="H1655" s="465"/>
      <c r="I1655" s="465"/>
      <c r="J1655" s="407">
        <f t="shared" si="538"/>
        <v>0</v>
      </c>
      <c r="K1655" s="408"/>
      <c r="L1655" s="152">
        <v>0</v>
      </c>
      <c r="M1655" s="213"/>
      <c r="N1655" s="402">
        <f t="shared" si="518"/>
        <v>0</v>
      </c>
      <c r="O1655" s="402">
        <f t="shared" si="519"/>
        <v>0</v>
      </c>
      <c r="P1655" s="403"/>
      <c r="Q1655" s="464"/>
      <c r="R1655" s="464"/>
      <c r="S1655" s="402">
        <f t="shared" si="520"/>
        <v>0</v>
      </c>
      <c r="T1655" s="404">
        <f t="shared" si="513"/>
        <v>0</v>
      </c>
      <c r="U1655" s="403"/>
      <c r="V1655" s="160" t="str">
        <f>IF(T1651&gt;0,"xx",IF(O1651&gt;0,"xy",""))</f>
        <v/>
      </c>
      <c r="W1655" s="43" t="str">
        <f t="shared" si="535"/>
        <v/>
      </c>
      <c r="X1655" s="43" t="str">
        <f t="shared" si="515"/>
        <v/>
      </c>
      <c r="Y1655" s="43" t="str">
        <f t="shared" si="539"/>
        <v/>
      </c>
    </row>
    <row r="1656" spans="1:25" hidden="1">
      <c r="A1656" s="155" t="s">
        <v>183</v>
      </c>
      <c r="B1656" s="156"/>
      <c r="C1656" s="411" t="s">
        <v>512</v>
      </c>
      <c r="D1656" s="351"/>
      <c r="E1656" s="405">
        <v>500</v>
      </c>
      <c r="F1656" s="406">
        <f>VLOOKUP(C1651,'ENSAIOS DE ORÇAMENTO'!$C$3:$L$79,10,FALSE)</f>
        <v>0</v>
      </c>
      <c r="G1656" s="158">
        <f t="shared" ref="G1656" si="541">IF(E1656&lt;=30,(0.42*E1656+3.55)*F1656,((0.42*30+3.55)+0.35*(E1656-30))*F1656)</f>
        <v>0</v>
      </c>
      <c r="H1656" s="465"/>
      <c r="I1656" s="465"/>
      <c r="J1656" s="407">
        <f t="shared" si="538"/>
        <v>0</v>
      </c>
      <c r="K1656" s="408"/>
      <c r="L1656" s="152">
        <v>0</v>
      </c>
      <c r="M1656" s="213"/>
      <c r="N1656" s="402">
        <f t="shared" si="518"/>
        <v>0</v>
      </c>
      <c r="O1656" s="402">
        <f t="shared" si="519"/>
        <v>0</v>
      </c>
      <c r="P1656" s="403"/>
      <c r="Q1656" s="464"/>
      <c r="R1656" s="464"/>
      <c r="S1656" s="402">
        <f t="shared" si="520"/>
        <v>0</v>
      </c>
      <c r="T1656" s="404">
        <f t="shared" si="513"/>
        <v>0</v>
      </c>
      <c r="U1656" s="403"/>
      <c r="V1656" s="160" t="str">
        <f>IF(T1651&gt;0,"xx",IF(O1651&gt;0,"xy",""))</f>
        <v/>
      </c>
      <c r="W1656" s="43" t="str">
        <f t="shared" si="535"/>
        <v/>
      </c>
      <c r="X1656" s="43" t="str">
        <f t="shared" si="515"/>
        <v/>
      </c>
      <c r="Y1656" s="43" t="str">
        <f t="shared" si="539"/>
        <v/>
      </c>
    </row>
    <row r="1657" spans="1:25" hidden="1">
      <c r="A1657" s="155" t="s">
        <v>52</v>
      </c>
      <c r="B1657" s="156" t="s">
        <v>242</v>
      </c>
      <c r="C1657" s="411" t="s">
        <v>172</v>
      </c>
      <c r="D1657" s="351"/>
      <c r="E1657" s="405"/>
      <c r="F1657" s="406"/>
      <c r="G1657" s="158">
        <f>SUM(G1658:G1662)</f>
        <v>561.73749114374993</v>
      </c>
      <c r="H1657" s="465">
        <f>VLOOKUP(C1657,'ENSAIOS DE ORÇAMENTO'!$C$3:$L$79,8,FALSE)</f>
        <v>4760.6286538527775</v>
      </c>
      <c r="I1657" s="465">
        <f>IF(ISBLANK(H1657),"",SUM(G1657:H1657))*0.8</f>
        <v>4257.8929159972222</v>
      </c>
      <c r="J1657" s="407">
        <f t="shared" si="538"/>
        <v>5399.01</v>
      </c>
      <c r="K1657" s="408" t="s">
        <v>23</v>
      </c>
      <c r="L1657" s="152">
        <v>0</v>
      </c>
      <c r="M1657" s="152"/>
      <c r="N1657" s="402">
        <f t="shared" si="518"/>
        <v>0</v>
      </c>
      <c r="O1657" s="402">
        <f t="shared" si="519"/>
        <v>0</v>
      </c>
      <c r="P1657" s="403"/>
      <c r="Q1657" s="152">
        <f t="shared" si="526"/>
        <v>0</v>
      </c>
      <c r="R1657" s="152">
        <f t="shared" si="526"/>
        <v>0</v>
      </c>
      <c r="S1657" s="402">
        <f t="shared" si="520"/>
        <v>0</v>
      </c>
      <c r="T1657" s="404">
        <f t="shared" si="513"/>
        <v>0</v>
      </c>
      <c r="U1657" s="403"/>
      <c r="W1657" s="43" t="str">
        <f t="shared" si="535"/>
        <v/>
      </c>
      <c r="X1657" s="43" t="str">
        <f t="shared" si="515"/>
        <v/>
      </c>
      <c r="Y1657" s="43" t="str">
        <f t="shared" si="539"/>
        <v/>
      </c>
    </row>
    <row r="1658" spans="1:25" hidden="1">
      <c r="A1658" s="155" t="s">
        <v>183</v>
      </c>
      <c r="B1658" s="156"/>
      <c r="C1658" s="411" t="s">
        <v>251</v>
      </c>
      <c r="D1658" s="351"/>
      <c r="E1658" s="405">
        <v>500</v>
      </c>
      <c r="F1658" s="406">
        <f>VLOOKUP(C1657,'ENSAIOS DE ORÇAMENTO'!$C$3:$L$79,4,FALSE)</f>
        <v>1.1230195000000001</v>
      </c>
      <c r="G1658" s="158">
        <f>IF(E1658&lt;=30,(0.42*E1658+3.55)*F1658,((0.42*30+3.55)+0.35*(E1658-30))*F1658)</f>
        <v>202.87347267500002</v>
      </c>
      <c r="H1658" s="465"/>
      <c r="I1658" s="465"/>
      <c r="J1658" s="407">
        <f t="shared" si="538"/>
        <v>0</v>
      </c>
      <c r="K1658" s="408"/>
      <c r="L1658" s="152">
        <v>0</v>
      </c>
      <c r="M1658" s="213"/>
      <c r="N1658" s="402">
        <f t="shared" si="518"/>
        <v>0</v>
      </c>
      <c r="O1658" s="402">
        <f t="shared" si="519"/>
        <v>0</v>
      </c>
      <c r="P1658" s="403"/>
      <c r="Q1658" s="464"/>
      <c r="R1658" s="464"/>
      <c r="S1658" s="402">
        <f t="shared" si="520"/>
        <v>0</v>
      </c>
      <c r="T1658" s="404">
        <f t="shared" si="513"/>
        <v>0</v>
      </c>
      <c r="U1658" s="403"/>
      <c r="V1658" s="160" t="str">
        <f>IF(T1657&gt;0,"xx",IF(O1657&gt;0,"xy",""))</f>
        <v/>
      </c>
      <c r="W1658" s="43" t="str">
        <f t="shared" si="535"/>
        <v/>
      </c>
      <c r="X1658" s="43" t="str">
        <f t="shared" si="515"/>
        <v/>
      </c>
      <c r="Y1658" s="43" t="str">
        <f t="shared" si="539"/>
        <v/>
      </c>
    </row>
    <row r="1659" spans="1:25" hidden="1">
      <c r="A1659" s="155" t="s">
        <v>183</v>
      </c>
      <c r="B1659" s="156"/>
      <c r="C1659" s="411" t="s">
        <v>314</v>
      </c>
      <c r="D1659" s="351"/>
      <c r="E1659" s="405">
        <v>180</v>
      </c>
      <c r="F1659" s="406">
        <f>VLOOKUP(C1657,'ENSAIOS DE ORÇAMENTO'!$C$3:$L$79,5,FALSE)</f>
        <v>3.2610033499999997</v>
      </c>
      <c r="G1659" s="158">
        <f t="shared" ref="G1659:G1661" si="542">IF(E1659&lt;=30,(0.6*E1659+1.25)*F1659,((0.6*30+1.25)+0.5*(E1659-30))*F1659)</f>
        <v>307.34956573749997</v>
      </c>
      <c r="H1659" s="465"/>
      <c r="I1659" s="465"/>
      <c r="J1659" s="407">
        <f t="shared" si="538"/>
        <v>0</v>
      </c>
      <c r="K1659" s="408"/>
      <c r="L1659" s="152">
        <v>0</v>
      </c>
      <c r="M1659" s="213"/>
      <c r="N1659" s="402">
        <f t="shared" si="518"/>
        <v>0</v>
      </c>
      <c r="O1659" s="402">
        <f t="shared" si="519"/>
        <v>0</v>
      </c>
      <c r="P1659" s="403"/>
      <c r="Q1659" s="464"/>
      <c r="R1659" s="464"/>
      <c r="S1659" s="402">
        <f t="shared" si="520"/>
        <v>0</v>
      </c>
      <c r="T1659" s="404">
        <f t="shared" si="513"/>
        <v>0</v>
      </c>
      <c r="U1659" s="403"/>
      <c r="V1659" s="160" t="str">
        <f>IF(T1657&gt;0,"xx",IF(O1657&gt;0,"xy",""))</f>
        <v/>
      </c>
      <c r="W1659" s="43" t="str">
        <f t="shared" si="535"/>
        <v/>
      </c>
      <c r="X1659" s="43" t="str">
        <f t="shared" si="515"/>
        <v/>
      </c>
      <c r="Y1659" s="43" t="str">
        <f t="shared" si="539"/>
        <v/>
      </c>
    </row>
    <row r="1660" spans="1:25" hidden="1">
      <c r="A1660" s="155" t="s">
        <v>183</v>
      </c>
      <c r="B1660" s="156"/>
      <c r="C1660" s="411" t="s">
        <v>323</v>
      </c>
      <c r="D1660" s="351"/>
      <c r="E1660" s="405">
        <v>20</v>
      </c>
      <c r="F1660" s="406">
        <f>VLOOKUP(C1657,'ENSAIOS DE ORÇAMENTO'!$C$3:$L$79,6,FALSE)</f>
        <v>3.8878832249999999</v>
      </c>
      <c r="G1660" s="158">
        <f t="shared" si="542"/>
        <v>51.514452731249996</v>
      </c>
      <c r="H1660" s="465"/>
      <c r="I1660" s="465"/>
      <c r="J1660" s="407">
        <f t="shared" si="538"/>
        <v>0</v>
      </c>
      <c r="K1660" s="408"/>
      <c r="L1660" s="152">
        <v>0</v>
      </c>
      <c r="M1660" s="213"/>
      <c r="N1660" s="402">
        <f t="shared" si="518"/>
        <v>0</v>
      </c>
      <c r="O1660" s="402">
        <f t="shared" si="519"/>
        <v>0</v>
      </c>
      <c r="P1660" s="403"/>
      <c r="Q1660" s="464"/>
      <c r="R1660" s="464"/>
      <c r="S1660" s="402">
        <f t="shared" si="520"/>
        <v>0</v>
      </c>
      <c r="T1660" s="404">
        <f t="shared" si="513"/>
        <v>0</v>
      </c>
      <c r="U1660" s="403"/>
      <c r="V1660" s="160" t="str">
        <f>IF(T1657&gt;0,"xx",IF(O1657&gt;0,"xy",""))</f>
        <v/>
      </c>
      <c r="W1660" s="43" t="str">
        <f t="shared" si="535"/>
        <v/>
      </c>
      <c r="X1660" s="43" t="str">
        <f t="shared" si="515"/>
        <v/>
      </c>
      <c r="Y1660" s="43" t="str">
        <f t="shared" si="539"/>
        <v/>
      </c>
    </row>
    <row r="1661" spans="1:25" hidden="1">
      <c r="A1661" s="155" t="s">
        <v>183</v>
      </c>
      <c r="B1661" s="156"/>
      <c r="C1661" s="411" t="s">
        <v>511</v>
      </c>
      <c r="D1661" s="351"/>
      <c r="E1661" s="405">
        <v>30</v>
      </c>
      <c r="F1661" s="406">
        <f>VLOOKUP(C1657,'ENSAIOS DE ORÇAMENTO'!$C$3:$L$79,3,FALSE)</f>
        <v>0</v>
      </c>
      <c r="G1661" s="158">
        <f t="shared" si="542"/>
        <v>0</v>
      </c>
      <c r="H1661" s="465"/>
      <c r="I1661" s="465"/>
      <c r="J1661" s="407">
        <f t="shared" si="538"/>
        <v>0</v>
      </c>
      <c r="K1661" s="408"/>
      <c r="L1661" s="152">
        <v>0</v>
      </c>
      <c r="M1661" s="213"/>
      <c r="N1661" s="402">
        <f t="shared" si="518"/>
        <v>0</v>
      </c>
      <c r="O1661" s="402">
        <f t="shared" si="519"/>
        <v>0</v>
      </c>
      <c r="P1661" s="403"/>
      <c r="Q1661" s="464"/>
      <c r="R1661" s="464"/>
      <c r="S1661" s="402">
        <f t="shared" si="520"/>
        <v>0</v>
      </c>
      <c r="T1661" s="404">
        <f t="shared" ref="T1661:T1724" si="543">IF(ISBLANK(Q1661),0,ROUND(Q1661*R1661,2))</f>
        <v>0</v>
      </c>
      <c r="U1661" s="403"/>
      <c r="V1661" s="160" t="str">
        <f>IF(T1657&gt;0,"xx",IF(O1657&gt;0,"xy",""))</f>
        <v/>
      </c>
      <c r="W1661" s="43" t="str">
        <f t="shared" si="535"/>
        <v/>
      </c>
      <c r="X1661" s="43" t="str">
        <f t="shared" si="515"/>
        <v/>
      </c>
      <c r="Y1661" s="43" t="str">
        <f t="shared" si="539"/>
        <v/>
      </c>
    </row>
    <row r="1662" spans="1:25" hidden="1">
      <c r="A1662" s="155" t="s">
        <v>183</v>
      </c>
      <c r="B1662" s="156"/>
      <c r="C1662" s="411" t="s">
        <v>512</v>
      </c>
      <c r="D1662" s="351"/>
      <c r="E1662" s="405">
        <v>500</v>
      </c>
      <c r="F1662" s="406">
        <f>VLOOKUP(C1657,'ENSAIOS DE ORÇAMENTO'!$C$3:$L$79,10,FALSE)</f>
        <v>0</v>
      </c>
      <c r="G1662" s="158">
        <f t="shared" ref="G1662" si="544">IF(E1662&lt;=30,(0.42*E1662+3.55)*F1662,((0.42*30+3.55)+0.35*(E1662-30))*F1662)</f>
        <v>0</v>
      </c>
      <c r="H1662" s="465"/>
      <c r="I1662" s="465"/>
      <c r="J1662" s="407">
        <f t="shared" si="538"/>
        <v>0</v>
      </c>
      <c r="K1662" s="408"/>
      <c r="L1662" s="152">
        <v>0</v>
      </c>
      <c r="M1662" s="213"/>
      <c r="N1662" s="402">
        <f t="shared" si="518"/>
        <v>0</v>
      </c>
      <c r="O1662" s="402">
        <f t="shared" si="519"/>
        <v>0</v>
      </c>
      <c r="P1662" s="403"/>
      <c r="Q1662" s="464"/>
      <c r="R1662" s="464"/>
      <c r="S1662" s="402">
        <f t="shared" si="520"/>
        <v>0</v>
      </c>
      <c r="T1662" s="404">
        <f t="shared" si="543"/>
        <v>0</v>
      </c>
      <c r="U1662" s="403"/>
      <c r="V1662" s="160" t="str">
        <f>IF(T1657&gt;0,"xx",IF(O1657&gt;0,"xy",""))</f>
        <v/>
      </c>
      <c r="W1662" s="43" t="str">
        <f t="shared" si="535"/>
        <v/>
      </c>
      <c r="X1662" s="43" t="str">
        <f t="shared" si="515"/>
        <v/>
      </c>
      <c r="Y1662" s="43" t="str">
        <f t="shared" si="539"/>
        <v/>
      </c>
    </row>
    <row r="1663" spans="1:25" hidden="1">
      <c r="A1663" s="155" t="s">
        <v>53</v>
      </c>
      <c r="B1663" s="156" t="s">
        <v>242</v>
      </c>
      <c r="C1663" s="411" t="s">
        <v>533</v>
      </c>
      <c r="D1663" s="351"/>
      <c r="E1663" s="405"/>
      <c r="F1663" s="406"/>
      <c r="G1663" s="158">
        <f>SUM(G1664:G1668)</f>
        <v>54.944051250000015</v>
      </c>
      <c r="H1663" s="465">
        <f>VLOOKUP(C1663,'ENSAIOS DE ORÇAMENTO'!$C$3:$L$79,8,FALSE)</f>
        <v>574.38945999999999</v>
      </c>
      <c r="I1663" s="465">
        <f>IF(ISBLANK(H1663),"",SUM(G1663:H1663))*0.95</f>
        <v>597.86683568750004</v>
      </c>
      <c r="J1663" s="407">
        <f t="shared" si="538"/>
        <v>758.1</v>
      </c>
      <c r="K1663" s="408" t="s">
        <v>23</v>
      </c>
      <c r="L1663" s="152">
        <v>0</v>
      </c>
      <c r="M1663" s="152"/>
      <c r="N1663" s="402">
        <f t="shared" si="518"/>
        <v>0</v>
      </c>
      <c r="O1663" s="402">
        <f t="shared" si="519"/>
        <v>0</v>
      </c>
      <c r="P1663" s="403"/>
      <c r="Q1663" s="152">
        <f t="shared" si="526"/>
        <v>0</v>
      </c>
      <c r="R1663" s="152">
        <f t="shared" si="526"/>
        <v>0</v>
      </c>
      <c r="S1663" s="402">
        <f t="shared" si="520"/>
        <v>0</v>
      </c>
      <c r="T1663" s="404">
        <f t="shared" si="543"/>
        <v>0</v>
      </c>
      <c r="U1663" s="403"/>
      <c r="W1663" s="43" t="str">
        <f t="shared" si="535"/>
        <v/>
      </c>
      <c r="X1663" s="43" t="str">
        <f t="shared" ref="X1663:X1726" si="545">IF(V1663="X","x",IF(V1663="y","x",IF(V1663="xx","x",IF(T1663&gt;0,"x",""))))</f>
        <v/>
      </c>
      <c r="Y1663" s="43" t="str">
        <f t="shared" si="539"/>
        <v/>
      </c>
    </row>
    <row r="1664" spans="1:25" hidden="1">
      <c r="A1664" s="155" t="s">
        <v>183</v>
      </c>
      <c r="B1664" s="156"/>
      <c r="C1664" s="411" t="s">
        <v>251</v>
      </c>
      <c r="D1664" s="351"/>
      <c r="E1664" s="405">
        <v>500</v>
      </c>
      <c r="F1664" s="406">
        <f>VLOOKUP(C1663,'ENSAIOS DE ORÇAMENTO'!$C$3:$L$79,4,FALSE)</f>
        <v>0.11253000000000002</v>
      </c>
      <c r="G1664" s="158">
        <f>IF(E1664&lt;=30,(0.42*E1664+3.55)*F1664,((0.42*30+3.55)+0.35*(E1664-30))*F1664)</f>
        <v>20.328544500000003</v>
      </c>
      <c r="H1664" s="465"/>
      <c r="I1664" s="465"/>
      <c r="J1664" s="407">
        <f t="shared" si="538"/>
        <v>0</v>
      </c>
      <c r="K1664" s="408"/>
      <c r="L1664" s="152">
        <v>0</v>
      </c>
      <c r="M1664" s="213"/>
      <c r="N1664" s="402">
        <f t="shared" si="518"/>
        <v>0</v>
      </c>
      <c r="O1664" s="402">
        <f t="shared" si="519"/>
        <v>0</v>
      </c>
      <c r="P1664" s="403"/>
      <c r="Q1664" s="464"/>
      <c r="R1664" s="464"/>
      <c r="S1664" s="402">
        <f t="shared" si="520"/>
        <v>0</v>
      </c>
      <c r="T1664" s="404">
        <f t="shared" si="543"/>
        <v>0</v>
      </c>
      <c r="U1664" s="403"/>
      <c r="V1664" s="160" t="str">
        <f>IF(T1663&gt;0,"xx",IF(O1663&gt;0,"xy",""))</f>
        <v/>
      </c>
      <c r="W1664" s="43" t="str">
        <f t="shared" si="535"/>
        <v/>
      </c>
      <c r="X1664" s="43" t="str">
        <f t="shared" si="545"/>
        <v/>
      </c>
      <c r="Y1664" s="43" t="str">
        <f t="shared" si="539"/>
        <v/>
      </c>
    </row>
    <row r="1665" spans="1:25" hidden="1">
      <c r="A1665" s="155" t="s">
        <v>183</v>
      </c>
      <c r="B1665" s="156"/>
      <c r="C1665" s="411" t="s">
        <v>314</v>
      </c>
      <c r="D1665" s="351"/>
      <c r="E1665" s="405">
        <v>180</v>
      </c>
      <c r="F1665" s="406">
        <f>VLOOKUP(C1663,'ENSAIOS DE ORÇAMENTO'!$C$3:$L$79,5,FALSE)</f>
        <v>0.31406100000000003</v>
      </c>
      <c r="G1665" s="158">
        <f t="shared" ref="G1665:G1667" si="546">IF(E1665&lt;=30,(0.6*E1665+1.25)*F1665,((0.6*30+1.25)+0.5*(E1665-30))*F1665)</f>
        <v>29.600249250000005</v>
      </c>
      <c r="H1665" s="465"/>
      <c r="I1665" s="465"/>
      <c r="J1665" s="407">
        <f t="shared" si="538"/>
        <v>0</v>
      </c>
      <c r="K1665" s="408"/>
      <c r="L1665" s="152">
        <v>0</v>
      </c>
      <c r="M1665" s="213"/>
      <c r="N1665" s="402">
        <f t="shared" si="518"/>
        <v>0</v>
      </c>
      <c r="O1665" s="402">
        <f t="shared" si="519"/>
        <v>0</v>
      </c>
      <c r="P1665" s="403"/>
      <c r="Q1665" s="464"/>
      <c r="R1665" s="464"/>
      <c r="S1665" s="402">
        <f t="shared" si="520"/>
        <v>0</v>
      </c>
      <c r="T1665" s="404">
        <f t="shared" si="543"/>
        <v>0</v>
      </c>
      <c r="U1665" s="403"/>
      <c r="V1665" s="160" t="str">
        <f>IF(T1663&gt;0,"xx",IF(O1663&gt;0,"xy",""))</f>
        <v/>
      </c>
      <c r="W1665" s="43" t="str">
        <f t="shared" si="535"/>
        <v/>
      </c>
      <c r="X1665" s="43" t="str">
        <f t="shared" si="545"/>
        <v/>
      </c>
      <c r="Y1665" s="43" t="str">
        <f t="shared" si="539"/>
        <v/>
      </c>
    </row>
    <row r="1666" spans="1:25" hidden="1">
      <c r="A1666" s="155" t="s">
        <v>183</v>
      </c>
      <c r="B1666" s="156"/>
      <c r="C1666" s="411" t="s">
        <v>323</v>
      </c>
      <c r="D1666" s="351"/>
      <c r="E1666" s="405">
        <v>20</v>
      </c>
      <c r="F1666" s="406">
        <f>VLOOKUP(C1663,'ENSAIOS DE ORÇAMENTO'!$C$3:$L$79,6,FALSE)</f>
        <v>0.37851000000000007</v>
      </c>
      <c r="G1666" s="158">
        <f t="shared" si="546"/>
        <v>5.0152575000000006</v>
      </c>
      <c r="H1666" s="465"/>
      <c r="I1666" s="465"/>
      <c r="J1666" s="407">
        <f t="shared" si="538"/>
        <v>0</v>
      </c>
      <c r="K1666" s="408"/>
      <c r="L1666" s="152">
        <v>0</v>
      </c>
      <c r="M1666" s="213"/>
      <c r="N1666" s="402">
        <f t="shared" si="518"/>
        <v>0</v>
      </c>
      <c r="O1666" s="402">
        <f t="shared" si="519"/>
        <v>0</v>
      </c>
      <c r="P1666" s="403"/>
      <c r="Q1666" s="464"/>
      <c r="R1666" s="464"/>
      <c r="S1666" s="402">
        <f t="shared" si="520"/>
        <v>0</v>
      </c>
      <c r="T1666" s="404">
        <f t="shared" si="543"/>
        <v>0</v>
      </c>
      <c r="U1666" s="403"/>
      <c r="V1666" s="160" t="str">
        <f>IF(T1663&gt;0,"xx",IF(O1663&gt;0,"xy",""))</f>
        <v/>
      </c>
      <c r="W1666" s="43" t="str">
        <f t="shared" si="535"/>
        <v/>
      </c>
      <c r="X1666" s="43" t="str">
        <f t="shared" si="545"/>
        <v/>
      </c>
      <c r="Y1666" s="43" t="str">
        <f t="shared" si="539"/>
        <v/>
      </c>
    </row>
    <row r="1667" spans="1:25" hidden="1">
      <c r="A1667" s="155" t="s">
        <v>183</v>
      </c>
      <c r="B1667" s="156"/>
      <c r="C1667" s="411" t="s">
        <v>511</v>
      </c>
      <c r="D1667" s="351"/>
      <c r="E1667" s="405">
        <v>30</v>
      </c>
      <c r="F1667" s="406">
        <f>VLOOKUP(C1663,'ENSAIOS DE ORÇAMENTO'!$C$3:$L$79,3,FALSE)</f>
        <v>0</v>
      </c>
      <c r="G1667" s="158">
        <f t="shared" si="546"/>
        <v>0</v>
      </c>
      <c r="H1667" s="465"/>
      <c r="I1667" s="465"/>
      <c r="J1667" s="407">
        <f t="shared" si="538"/>
        <v>0</v>
      </c>
      <c r="K1667" s="408"/>
      <c r="L1667" s="152">
        <v>0</v>
      </c>
      <c r="M1667" s="213"/>
      <c r="N1667" s="402">
        <f t="shared" si="518"/>
        <v>0</v>
      </c>
      <c r="O1667" s="402">
        <f t="shared" si="519"/>
        <v>0</v>
      </c>
      <c r="P1667" s="403"/>
      <c r="Q1667" s="464"/>
      <c r="R1667" s="464"/>
      <c r="S1667" s="402">
        <f t="shared" si="520"/>
        <v>0</v>
      </c>
      <c r="T1667" s="404">
        <f t="shared" si="543"/>
        <v>0</v>
      </c>
      <c r="U1667" s="403"/>
      <c r="V1667" s="160" t="str">
        <f>IF(T1663&gt;0,"xx",IF(O1663&gt;0,"xy",""))</f>
        <v/>
      </c>
      <c r="W1667" s="43" t="str">
        <f t="shared" si="535"/>
        <v/>
      </c>
      <c r="X1667" s="43" t="str">
        <f t="shared" si="545"/>
        <v/>
      </c>
      <c r="Y1667" s="43" t="str">
        <f t="shared" si="539"/>
        <v/>
      </c>
    </row>
    <row r="1668" spans="1:25" hidden="1">
      <c r="A1668" s="155" t="s">
        <v>183</v>
      </c>
      <c r="B1668" s="156"/>
      <c r="C1668" s="411" t="s">
        <v>512</v>
      </c>
      <c r="D1668" s="351"/>
      <c r="E1668" s="405">
        <v>500</v>
      </c>
      <c r="F1668" s="406">
        <f>VLOOKUP(C1663,'ENSAIOS DE ORÇAMENTO'!$C$3:$L$79,10,FALSE)</f>
        <v>0</v>
      </c>
      <c r="G1668" s="158">
        <f t="shared" ref="G1668" si="547">IF(E1668&lt;=30,(0.42*E1668+3.55)*F1668,((0.42*30+3.55)+0.35*(E1668-30))*F1668)</f>
        <v>0</v>
      </c>
      <c r="H1668" s="465"/>
      <c r="I1668" s="465"/>
      <c r="J1668" s="407">
        <f t="shared" si="538"/>
        <v>0</v>
      </c>
      <c r="K1668" s="408"/>
      <c r="L1668" s="152">
        <v>0</v>
      </c>
      <c r="M1668" s="213"/>
      <c r="N1668" s="402">
        <f t="shared" si="518"/>
        <v>0</v>
      </c>
      <c r="O1668" s="402">
        <f t="shared" si="519"/>
        <v>0</v>
      </c>
      <c r="P1668" s="403"/>
      <c r="Q1668" s="464"/>
      <c r="R1668" s="464"/>
      <c r="S1668" s="402">
        <f t="shared" si="520"/>
        <v>0</v>
      </c>
      <c r="T1668" s="404">
        <f t="shared" si="543"/>
        <v>0</v>
      </c>
      <c r="U1668" s="403"/>
      <c r="V1668" s="160" t="str">
        <f>IF(T1663&gt;0,"xx",IF(O1663&gt;0,"xy",""))</f>
        <v/>
      </c>
      <c r="W1668" s="43" t="str">
        <f t="shared" si="535"/>
        <v/>
      </c>
      <c r="X1668" s="43" t="str">
        <f t="shared" si="545"/>
        <v/>
      </c>
      <c r="Y1668" s="43" t="str">
        <f t="shared" si="539"/>
        <v/>
      </c>
    </row>
    <row r="1669" spans="1:25" hidden="1">
      <c r="A1669" s="155" t="s">
        <v>54</v>
      </c>
      <c r="B1669" s="156" t="s">
        <v>242</v>
      </c>
      <c r="C1669" s="411" t="s">
        <v>534</v>
      </c>
      <c r="D1669" s="351"/>
      <c r="E1669" s="405"/>
      <c r="F1669" s="406"/>
      <c r="G1669" s="158">
        <f>SUM(G1670:G1674)</f>
        <v>59.777838750000015</v>
      </c>
      <c r="H1669" s="465">
        <f>VLOOKUP(C1669,'ENSAIOS DE ORÇAMENTO'!$C$3:$L$79,8,FALSE)</f>
        <v>635.66426000000001</v>
      </c>
      <c r="I1669" s="465">
        <f>IF(ISBLANK(H1669),"",SUM(G1669:H1669))*0.95</f>
        <v>660.66999381250002</v>
      </c>
      <c r="J1669" s="407">
        <f t="shared" si="538"/>
        <v>837.73</v>
      </c>
      <c r="K1669" s="408" t="s">
        <v>23</v>
      </c>
      <c r="L1669" s="152">
        <v>0</v>
      </c>
      <c r="M1669" s="152"/>
      <c r="N1669" s="402">
        <f t="shared" si="518"/>
        <v>0</v>
      </c>
      <c r="O1669" s="402">
        <f t="shared" si="519"/>
        <v>0</v>
      </c>
      <c r="P1669" s="403"/>
      <c r="Q1669" s="152">
        <f t="shared" si="526"/>
        <v>0</v>
      </c>
      <c r="R1669" s="152">
        <f t="shared" si="526"/>
        <v>0</v>
      </c>
      <c r="S1669" s="402">
        <f t="shared" si="520"/>
        <v>0</v>
      </c>
      <c r="T1669" s="404">
        <f t="shared" si="543"/>
        <v>0</v>
      </c>
      <c r="U1669" s="403"/>
      <c r="W1669" s="43" t="str">
        <f t="shared" si="535"/>
        <v/>
      </c>
      <c r="X1669" s="43" t="str">
        <f t="shared" si="545"/>
        <v/>
      </c>
      <c r="Y1669" s="43" t="str">
        <f t="shared" si="539"/>
        <v/>
      </c>
    </row>
    <row r="1670" spans="1:25" hidden="1">
      <c r="A1670" s="155" t="s">
        <v>183</v>
      </c>
      <c r="B1670" s="156"/>
      <c r="C1670" s="411" t="s">
        <v>251</v>
      </c>
      <c r="D1670" s="351"/>
      <c r="E1670" s="405">
        <v>500</v>
      </c>
      <c r="F1670" s="406">
        <f>VLOOKUP(C1669,'ENSAIOS DE ORÇAMENTO'!$C$3:$L$79,4,FALSE)</f>
        <v>0.12243000000000002</v>
      </c>
      <c r="G1670" s="158">
        <f>IF(E1670&lt;=30,(0.42*E1670+3.55)*F1670,((0.42*30+3.55)+0.35*(E1670-30))*F1670)</f>
        <v>22.116979500000006</v>
      </c>
      <c r="H1670" s="465"/>
      <c r="I1670" s="465"/>
      <c r="J1670" s="407">
        <f t="shared" si="538"/>
        <v>0</v>
      </c>
      <c r="K1670" s="408"/>
      <c r="L1670" s="152">
        <v>0</v>
      </c>
      <c r="M1670" s="213"/>
      <c r="N1670" s="402">
        <f t="shared" ref="N1670:N1733" si="548">IF(ISBLANK(L1670),0,ROUND(J1670*L1670,2))</f>
        <v>0</v>
      </c>
      <c r="O1670" s="402">
        <f t="shared" ref="O1670:O1733" si="549">IF(ISBLANK(M1670),0,ROUND(L1670*M1670,2))</f>
        <v>0</v>
      </c>
      <c r="P1670" s="403"/>
      <c r="Q1670" s="464"/>
      <c r="R1670" s="464"/>
      <c r="S1670" s="402">
        <f t="shared" ref="S1670:S1733" si="550">IF(ISBLANK(Q1670),0,ROUND(J1670*Q1670,2))</f>
        <v>0</v>
      </c>
      <c r="T1670" s="404">
        <f t="shared" si="543"/>
        <v>0</v>
      </c>
      <c r="U1670" s="403"/>
      <c r="V1670" s="160" t="str">
        <f>IF(T1669&gt;0,"xx",IF(O1669&gt;0,"xy",""))</f>
        <v/>
      </c>
      <c r="W1670" s="43" t="str">
        <f t="shared" si="535"/>
        <v/>
      </c>
      <c r="X1670" s="43" t="str">
        <f t="shared" si="545"/>
        <v/>
      </c>
      <c r="Y1670" s="43" t="str">
        <f t="shared" si="539"/>
        <v/>
      </c>
    </row>
    <row r="1671" spans="1:25" hidden="1">
      <c r="A1671" s="155" t="s">
        <v>183</v>
      </c>
      <c r="B1671" s="156"/>
      <c r="C1671" s="411" t="s">
        <v>314</v>
      </c>
      <c r="D1671" s="351"/>
      <c r="E1671" s="405">
        <v>180</v>
      </c>
      <c r="F1671" s="406">
        <f>VLOOKUP(C1669,'ENSAIOS DE ORÇAMENTO'!$C$3:$L$79,5,FALSE)</f>
        <v>0.34169100000000008</v>
      </c>
      <c r="G1671" s="158">
        <f t="shared" ref="G1671:G1673" si="551">IF(E1671&lt;=30,(0.6*E1671+1.25)*F1671,((0.6*30+1.25)+0.5*(E1671-30))*F1671)</f>
        <v>32.204376750000009</v>
      </c>
      <c r="H1671" s="465"/>
      <c r="I1671" s="465"/>
      <c r="J1671" s="407">
        <f t="shared" si="538"/>
        <v>0</v>
      </c>
      <c r="K1671" s="408"/>
      <c r="L1671" s="152">
        <v>0</v>
      </c>
      <c r="M1671" s="213"/>
      <c r="N1671" s="402">
        <f t="shared" si="548"/>
        <v>0</v>
      </c>
      <c r="O1671" s="402">
        <f t="shared" si="549"/>
        <v>0</v>
      </c>
      <c r="P1671" s="403"/>
      <c r="Q1671" s="464"/>
      <c r="R1671" s="464"/>
      <c r="S1671" s="402">
        <f t="shared" si="550"/>
        <v>0</v>
      </c>
      <c r="T1671" s="404">
        <f t="shared" si="543"/>
        <v>0</v>
      </c>
      <c r="U1671" s="403"/>
      <c r="V1671" s="160" t="str">
        <f>IF(T1669&gt;0,"xx",IF(O1669&gt;0,"xy",""))</f>
        <v/>
      </c>
      <c r="W1671" s="43" t="str">
        <f t="shared" si="535"/>
        <v/>
      </c>
      <c r="X1671" s="43" t="str">
        <f t="shared" si="545"/>
        <v/>
      </c>
      <c r="Y1671" s="43" t="str">
        <f t="shared" si="539"/>
        <v/>
      </c>
    </row>
    <row r="1672" spans="1:25" hidden="1">
      <c r="A1672" s="155" t="s">
        <v>183</v>
      </c>
      <c r="B1672" s="156"/>
      <c r="C1672" s="411" t="s">
        <v>323</v>
      </c>
      <c r="D1672" s="351"/>
      <c r="E1672" s="405">
        <v>20</v>
      </c>
      <c r="F1672" s="406">
        <f>VLOOKUP(C1669,'ENSAIOS DE ORÇAMENTO'!$C$3:$L$79,6,FALSE)</f>
        <v>0.41181000000000012</v>
      </c>
      <c r="G1672" s="158">
        <f t="shared" si="551"/>
        <v>5.4564825000000017</v>
      </c>
      <c r="H1672" s="465"/>
      <c r="I1672" s="465"/>
      <c r="J1672" s="407">
        <f t="shared" si="538"/>
        <v>0</v>
      </c>
      <c r="K1672" s="408"/>
      <c r="L1672" s="152">
        <v>0</v>
      </c>
      <c r="M1672" s="213"/>
      <c r="N1672" s="402">
        <f t="shared" si="548"/>
        <v>0</v>
      </c>
      <c r="O1672" s="402">
        <f t="shared" si="549"/>
        <v>0</v>
      </c>
      <c r="P1672" s="403"/>
      <c r="Q1672" s="464"/>
      <c r="R1672" s="464"/>
      <c r="S1672" s="402">
        <f t="shared" si="550"/>
        <v>0</v>
      </c>
      <c r="T1672" s="404">
        <f t="shared" si="543"/>
        <v>0</v>
      </c>
      <c r="U1672" s="403"/>
      <c r="V1672" s="160" t="str">
        <f>IF(T1669&gt;0,"xx",IF(O1669&gt;0,"xy",""))</f>
        <v/>
      </c>
      <c r="W1672" s="43" t="str">
        <f t="shared" si="535"/>
        <v/>
      </c>
      <c r="X1672" s="43" t="str">
        <f t="shared" si="545"/>
        <v/>
      </c>
      <c r="Y1672" s="43" t="str">
        <f t="shared" si="539"/>
        <v/>
      </c>
    </row>
    <row r="1673" spans="1:25" hidden="1">
      <c r="A1673" s="155" t="s">
        <v>183</v>
      </c>
      <c r="B1673" s="156"/>
      <c r="C1673" s="411" t="s">
        <v>511</v>
      </c>
      <c r="D1673" s="351"/>
      <c r="E1673" s="405">
        <v>30</v>
      </c>
      <c r="F1673" s="406">
        <f>VLOOKUP(C1669,'ENSAIOS DE ORÇAMENTO'!$C$3:$L$79,3,FALSE)</f>
        <v>0</v>
      </c>
      <c r="G1673" s="158">
        <f t="shared" si="551"/>
        <v>0</v>
      </c>
      <c r="H1673" s="465"/>
      <c r="I1673" s="465"/>
      <c r="J1673" s="407">
        <f t="shared" si="538"/>
        <v>0</v>
      </c>
      <c r="K1673" s="408"/>
      <c r="L1673" s="152">
        <v>0</v>
      </c>
      <c r="M1673" s="213"/>
      <c r="N1673" s="402">
        <f t="shared" si="548"/>
        <v>0</v>
      </c>
      <c r="O1673" s="402">
        <f t="shared" si="549"/>
        <v>0</v>
      </c>
      <c r="P1673" s="403"/>
      <c r="Q1673" s="464"/>
      <c r="R1673" s="464"/>
      <c r="S1673" s="402">
        <f t="shared" si="550"/>
        <v>0</v>
      </c>
      <c r="T1673" s="404">
        <f t="shared" si="543"/>
        <v>0</v>
      </c>
      <c r="U1673" s="403"/>
      <c r="V1673" s="160" t="str">
        <f>IF(T1669&gt;0,"xx",IF(O1669&gt;0,"xy",""))</f>
        <v/>
      </c>
      <c r="W1673" s="43" t="str">
        <f t="shared" si="535"/>
        <v/>
      </c>
      <c r="X1673" s="43" t="str">
        <f t="shared" si="545"/>
        <v/>
      </c>
      <c r="Y1673" s="43" t="str">
        <f t="shared" si="539"/>
        <v/>
      </c>
    </row>
    <row r="1674" spans="1:25" hidden="1">
      <c r="A1674" s="155" t="s">
        <v>183</v>
      </c>
      <c r="B1674" s="156"/>
      <c r="C1674" s="411" t="s">
        <v>512</v>
      </c>
      <c r="D1674" s="351"/>
      <c r="E1674" s="405">
        <v>500</v>
      </c>
      <c r="F1674" s="406">
        <f>VLOOKUP(C1669,'ENSAIOS DE ORÇAMENTO'!$C$3:$L$79,10,FALSE)</f>
        <v>0</v>
      </c>
      <c r="G1674" s="158">
        <f t="shared" ref="G1674" si="552">IF(E1674&lt;=30,(0.42*E1674+3.55)*F1674,((0.42*30+3.55)+0.35*(E1674-30))*F1674)</f>
        <v>0</v>
      </c>
      <c r="H1674" s="465"/>
      <c r="I1674" s="465"/>
      <c r="J1674" s="407">
        <f t="shared" si="538"/>
        <v>0</v>
      </c>
      <c r="K1674" s="408"/>
      <c r="L1674" s="152">
        <v>0</v>
      </c>
      <c r="M1674" s="213"/>
      <c r="N1674" s="402">
        <f t="shared" si="548"/>
        <v>0</v>
      </c>
      <c r="O1674" s="402">
        <f t="shared" si="549"/>
        <v>0</v>
      </c>
      <c r="P1674" s="403"/>
      <c r="Q1674" s="464"/>
      <c r="R1674" s="464"/>
      <c r="S1674" s="402">
        <f t="shared" si="550"/>
        <v>0</v>
      </c>
      <c r="T1674" s="404">
        <f t="shared" si="543"/>
        <v>0</v>
      </c>
      <c r="U1674" s="403"/>
      <c r="V1674" s="160" t="str">
        <f>IF(T1669&gt;0,"xx",IF(O1669&gt;0,"xy",""))</f>
        <v/>
      </c>
      <c r="W1674" s="43" t="str">
        <f t="shared" si="535"/>
        <v/>
      </c>
      <c r="X1674" s="43" t="str">
        <f t="shared" si="545"/>
        <v/>
      </c>
      <c r="Y1674" s="43" t="str">
        <f t="shared" si="539"/>
        <v/>
      </c>
    </row>
    <row r="1675" spans="1:25" hidden="1">
      <c r="A1675" s="155" t="s">
        <v>55</v>
      </c>
      <c r="B1675" s="156" t="s">
        <v>242</v>
      </c>
      <c r="C1675" s="411" t="s">
        <v>535</v>
      </c>
      <c r="D1675" s="351"/>
      <c r="E1675" s="405"/>
      <c r="F1675" s="406"/>
      <c r="G1675" s="158">
        <f>SUM(G1676:G1680)</f>
        <v>64.61162625</v>
      </c>
      <c r="H1675" s="465">
        <f>VLOOKUP(C1675,'ENSAIOS DE ORÇAMENTO'!$C$3:$L$79,8,FALSE)</f>
        <v>706.70406000000003</v>
      </c>
      <c r="I1675" s="465">
        <f>IF(ISBLANK(H1675),"",SUM(G1675:H1675))*0.9</f>
        <v>694.184117625</v>
      </c>
      <c r="J1675" s="407">
        <f t="shared" si="538"/>
        <v>880.23</v>
      </c>
      <c r="K1675" s="408" t="s">
        <v>23</v>
      </c>
      <c r="L1675" s="152">
        <v>0</v>
      </c>
      <c r="M1675" s="152"/>
      <c r="N1675" s="402">
        <f t="shared" si="548"/>
        <v>0</v>
      </c>
      <c r="O1675" s="402">
        <f t="shared" si="549"/>
        <v>0</v>
      </c>
      <c r="P1675" s="403"/>
      <c r="Q1675" s="152">
        <f t="shared" si="526"/>
        <v>0</v>
      </c>
      <c r="R1675" s="152">
        <f t="shared" si="526"/>
        <v>0</v>
      </c>
      <c r="S1675" s="402">
        <f t="shared" si="550"/>
        <v>0</v>
      </c>
      <c r="T1675" s="404">
        <f t="shared" si="543"/>
        <v>0</v>
      </c>
      <c r="U1675" s="403"/>
      <c r="W1675" s="43" t="str">
        <f t="shared" si="535"/>
        <v/>
      </c>
      <c r="X1675" s="43" t="str">
        <f t="shared" si="545"/>
        <v/>
      </c>
      <c r="Y1675" s="43" t="str">
        <f t="shared" si="539"/>
        <v/>
      </c>
    </row>
    <row r="1676" spans="1:25" hidden="1">
      <c r="A1676" s="155" t="s">
        <v>183</v>
      </c>
      <c r="B1676" s="156"/>
      <c r="C1676" s="411" t="s">
        <v>251</v>
      </c>
      <c r="D1676" s="351"/>
      <c r="E1676" s="405">
        <v>500</v>
      </c>
      <c r="F1676" s="406">
        <f>VLOOKUP(C1675,'ENSAIOS DE ORÇAMENTO'!$C$3:$L$79,4,FALSE)</f>
        <v>0.13233</v>
      </c>
      <c r="G1676" s="158">
        <f>IF(E1676&lt;=30,(0.42*E1676+3.55)*F1676,((0.42*30+3.55)+0.35*(E1676-30))*F1676)</f>
        <v>23.905414500000003</v>
      </c>
      <c r="H1676" s="465"/>
      <c r="I1676" s="465"/>
      <c r="J1676" s="407">
        <f t="shared" si="538"/>
        <v>0</v>
      </c>
      <c r="K1676" s="408"/>
      <c r="L1676" s="152">
        <v>0</v>
      </c>
      <c r="M1676" s="213"/>
      <c r="N1676" s="402">
        <f t="shared" si="548"/>
        <v>0</v>
      </c>
      <c r="O1676" s="402">
        <f t="shared" si="549"/>
        <v>0</v>
      </c>
      <c r="P1676" s="403"/>
      <c r="Q1676" s="464"/>
      <c r="R1676" s="464"/>
      <c r="S1676" s="402">
        <f t="shared" si="550"/>
        <v>0</v>
      </c>
      <c r="T1676" s="404">
        <f t="shared" si="543"/>
        <v>0</v>
      </c>
      <c r="U1676" s="403"/>
      <c r="V1676" s="160" t="str">
        <f>IF(T1675&gt;0,"xx",IF(O1675&gt;0,"xy",""))</f>
        <v/>
      </c>
      <c r="W1676" s="43" t="str">
        <f t="shared" si="535"/>
        <v/>
      </c>
      <c r="X1676" s="43" t="str">
        <f t="shared" si="545"/>
        <v/>
      </c>
      <c r="Y1676" s="43" t="str">
        <f t="shared" si="539"/>
        <v/>
      </c>
    </row>
    <row r="1677" spans="1:25" hidden="1">
      <c r="A1677" s="155" t="s">
        <v>183</v>
      </c>
      <c r="B1677" s="156"/>
      <c r="C1677" s="411" t="s">
        <v>314</v>
      </c>
      <c r="D1677" s="351"/>
      <c r="E1677" s="405">
        <v>180</v>
      </c>
      <c r="F1677" s="406">
        <f>VLOOKUP(C1675,'ENSAIOS DE ORÇAMENTO'!$C$3:$L$79,5,FALSE)</f>
        <v>0.36932100000000001</v>
      </c>
      <c r="G1677" s="158">
        <f t="shared" ref="G1677:G1679" si="553">IF(E1677&lt;=30,(0.6*E1677+1.25)*F1677,((0.6*30+1.25)+0.5*(E1677-30))*F1677)</f>
        <v>34.808504249999999</v>
      </c>
      <c r="H1677" s="465"/>
      <c r="I1677" s="465"/>
      <c r="J1677" s="407">
        <f t="shared" si="538"/>
        <v>0</v>
      </c>
      <c r="K1677" s="408"/>
      <c r="L1677" s="152">
        <v>0</v>
      </c>
      <c r="M1677" s="213"/>
      <c r="N1677" s="402">
        <f t="shared" si="548"/>
        <v>0</v>
      </c>
      <c r="O1677" s="402">
        <f t="shared" si="549"/>
        <v>0</v>
      </c>
      <c r="P1677" s="403"/>
      <c r="Q1677" s="464"/>
      <c r="R1677" s="464"/>
      <c r="S1677" s="402">
        <f t="shared" si="550"/>
        <v>0</v>
      </c>
      <c r="T1677" s="404">
        <f t="shared" si="543"/>
        <v>0</v>
      </c>
      <c r="U1677" s="403"/>
      <c r="V1677" s="160" t="str">
        <f>IF(T1675&gt;0,"xx",IF(O1675&gt;0,"xy",""))</f>
        <v/>
      </c>
      <c r="W1677" s="43" t="str">
        <f t="shared" si="535"/>
        <v/>
      </c>
      <c r="X1677" s="43" t="str">
        <f t="shared" si="545"/>
        <v/>
      </c>
      <c r="Y1677" s="43" t="str">
        <f t="shared" si="539"/>
        <v/>
      </c>
    </row>
    <row r="1678" spans="1:25" hidden="1">
      <c r="A1678" s="155" t="s">
        <v>183</v>
      </c>
      <c r="B1678" s="156"/>
      <c r="C1678" s="411" t="s">
        <v>323</v>
      </c>
      <c r="D1678" s="351"/>
      <c r="E1678" s="405">
        <v>20</v>
      </c>
      <c r="F1678" s="406">
        <f>VLOOKUP(C1675,'ENSAIOS DE ORÇAMENTO'!$C$3:$L$79,6,FALSE)</f>
        <v>0.44511000000000006</v>
      </c>
      <c r="G1678" s="158">
        <f t="shared" si="553"/>
        <v>5.897707500000001</v>
      </c>
      <c r="H1678" s="465"/>
      <c r="I1678" s="465"/>
      <c r="J1678" s="407">
        <f t="shared" si="538"/>
        <v>0</v>
      </c>
      <c r="K1678" s="408"/>
      <c r="L1678" s="152">
        <v>0</v>
      </c>
      <c r="M1678" s="213"/>
      <c r="N1678" s="402">
        <f t="shared" si="548"/>
        <v>0</v>
      </c>
      <c r="O1678" s="402">
        <f t="shared" si="549"/>
        <v>0</v>
      </c>
      <c r="P1678" s="403"/>
      <c r="Q1678" s="464"/>
      <c r="R1678" s="464"/>
      <c r="S1678" s="402">
        <f t="shared" si="550"/>
        <v>0</v>
      </c>
      <c r="T1678" s="404">
        <f t="shared" si="543"/>
        <v>0</v>
      </c>
      <c r="U1678" s="403"/>
      <c r="V1678" s="160" t="str">
        <f>IF(T1675&gt;0,"xx",IF(O1675&gt;0,"xy",""))</f>
        <v/>
      </c>
      <c r="W1678" s="43" t="str">
        <f t="shared" si="535"/>
        <v/>
      </c>
      <c r="X1678" s="43" t="str">
        <f t="shared" si="545"/>
        <v/>
      </c>
      <c r="Y1678" s="43" t="str">
        <f t="shared" si="539"/>
        <v/>
      </c>
    </row>
    <row r="1679" spans="1:25" hidden="1">
      <c r="A1679" s="155" t="s">
        <v>183</v>
      </c>
      <c r="B1679" s="156"/>
      <c r="C1679" s="411" t="s">
        <v>511</v>
      </c>
      <c r="D1679" s="351"/>
      <c r="E1679" s="405">
        <v>30</v>
      </c>
      <c r="F1679" s="406">
        <f>VLOOKUP(C1675,'ENSAIOS DE ORÇAMENTO'!$C$3:$L$79,3,FALSE)</f>
        <v>0</v>
      </c>
      <c r="G1679" s="158">
        <f t="shared" si="553"/>
        <v>0</v>
      </c>
      <c r="H1679" s="465"/>
      <c r="I1679" s="465"/>
      <c r="J1679" s="407">
        <f t="shared" si="538"/>
        <v>0</v>
      </c>
      <c r="K1679" s="408"/>
      <c r="L1679" s="152">
        <v>0</v>
      </c>
      <c r="M1679" s="213"/>
      <c r="N1679" s="402">
        <f t="shared" si="548"/>
        <v>0</v>
      </c>
      <c r="O1679" s="402">
        <f t="shared" si="549"/>
        <v>0</v>
      </c>
      <c r="P1679" s="403"/>
      <c r="Q1679" s="464"/>
      <c r="R1679" s="464"/>
      <c r="S1679" s="402">
        <f t="shared" si="550"/>
        <v>0</v>
      </c>
      <c r="T1679" s="404">
        <f t="shared" si="543"/>
        <v>0</v>
      </c>
      <c r="U1679" s="403"/>
      <c r="V1679" s="160" t="str">
        <f>IF(T1675&gt;0,"xx",IF(O1675&gt;0,"xy",""))</f>
        <v/>
      </c>
      <c r="W1679" s="43" t="str">
        <f t="shared" si="535"/>
        <v/>
      </c>
      <c r="X1679" s="43" t="str">
        <f t="shared" si="545"/>
        <v/>
      </c>
      <c r="Y1679" s="43" t="str">
        <f t="shared" si="539"/>
        <v/>
      </c>
    </row>
    <row r="1680" spans="1:25" hidden="1">
      <c r="A1680" s="155" t="s">
        <v>183</v>
      </c>
      <c r="B1680" s="156"/>
      <c r="C1680" s="411" t="s">
        <v>512</v>
      </c>
      <c r="D1680" s="351"/>
      <c r="E1680" s="405">
        <v>500</v>
      </c>
      <c r="F1680" s="406">
        <f>VLOOKUP(C1675,'ENSAIOS DE ORÇAMENTO'!$C$3:$L$79,10,FALSE)</f>
        <v>0</v>
      </c>
      <c r="G1680" s="158">
        <f t="shared" ref="G1680" si="554">IF(E1680&lt;=30,(0.42*E1680+3.55)*F1680,((0.42*30+3.55)+0.35*(E1680-30))*F1680)</f>
        <v>0</v>
      </c>
      <c r="H1680" s="465"/>
      <c r="I1680" s="465"/>
      <c r="J1680" s="407">
        <f t="shared" si="538"/>
        <v>0</v>
      </c>
      <c r="K1680" s="408"/>
      <c r="L1680" s="152">
        <v>0</v>
      </c>
      <c r="M1680" s="213"/>
      <c r="N1680" s="402">
        <f t="shared" si="548"/>
        <v>0</v>
      </c>
      <c r="O1680" s="402">
        <f t="shared" si="549"/>
        <v>0</v>
      </c>
      <c r="P1680" s="403"/>
      <c r="Q1680" s="464"/>
      <c r="R1680" s="464"/>
      <c r="S1680" s="402">
        <f t="shared" si="550"/>
        <v>0</v>
      </c>
      <c r="T1680" s="404">
        <f t="shared" si="543"/>
        <v>0</v>
      </c>
      <c r="U1680" s="403"/>
      <c r="V1680" s="160" t="str">
        <f>IF(T1675&gt;0,"xx",IF(O1675&gt;0,"xy",""))</f>
        <v/>
      </c>
      <c r="W1680" s="43" t="str">
        <f t="shared" si="535"/>
        <v/>
      </c>
      <c r="X1680" s="43" t="str">
        <f t="shared" si="545"/>
        <v/>
      </c>
      <c r="Y1680" s="43" t="str">
        <f t="shared" si="539"/>
        <v/>
      </c>
    </row>
    <row r="1681" spans="1:25" hidden="1">
      <c r="A1681" s="155" t="s">
        <v>56</v>
      </c>
      <c r="B1681" s="156" t="s">
        <v>242</v>
      </c>
      <c r="C1681" s="411" t="s">
        <v>536</v>
      </c>
      <c r="D1681" s="351"/>
      <c r="E1681" s="405"/>
      <c r="F1681" s="406"/>
      <c r="G1681" s="158">
        <f>SUM(G1682:G1686)</f>
        <v>288.25672500000002</v>
      </c>
      <c r="H1681" s="465">
        <f>VLOOKUP(C1681,'ENSAIOS DE ORÇAMENTO'!$C$3:$L$79,8,FALSE)</f>
        <v>732.53303000000005</v>
      </c>
      <c r="I1681" s="465">
        <f>IF(ISBLANK(H1681),"",SUM(G1681:H1681))*0.9</f>
        <v>918.71077950000006</v>
      </c>
      <c r="J1681" s="407">
        <f t="shared" si="538"/>
        <v>1164.93</v>
      </c>
      <c r="K1681" s="408" t="s">
        <v>23</v>
      </c>
      <c r="L1681" s="152">
        <v>0</v>
      </c>
      <c r="M1681" s="152"/>
      <c r="N1681" s="402">
        <f t="shared" si="548"/>
        <v>0</v>
      </c>
      <c r="O1681" s="402">
        <f t="shared" si="549"/>
        <v>0</v>
      </c>
      <c r="P1681" s="403"/>
      <c r="Q1681" s="152">
        <f t="shared" si="526"/>
        <v>0</v>
      </c>
      <c r="R1681" s="152">
        <f t="shared" si="526"/>
        <v>0</v>
      </c>
      <c r="S1681" s="402">
        <f t="shared" si="550"/>
        <v>0</v>
      </c>
      <c r="T1681" s="404">
        <f t="shared" si="543"/>
        <v>0</v>
      </c>
      <c r="U1681" s="403"/>
      <c r="W1681" s="43" t="str">
        <f t="shared" si="535"/>
        <v/>
      </c>
      <c r="X1681" s="43" t="str">
        <f t="shared" si="545"/>
        <v/>
      </c>
      <c r="Y1681" s="43" t="str">
        <f t="shared" si="539"/>
        <v/>
      </c>
    </row>
    <row r="1682" spans="1:25" hidden="1">
      <c r="A1682" s="155" t="s">
        <v>183</v>
      </c>
      <c r="B1682" s="156"/>
      <c r="C1682" s="411" t="s">
        <v>251</v>
      </c>
      <c r="D1682" s="351"/>
      <c r="E1682" s="405">
        <v>500</v>
      </c>
      <c r="F1682" s="406">
        <f>VLOOKUP(C1681,'ENSAIOS DE ORÇAMENTO'!$C$3:$L$79,4,FALSE)</f>
        <v>0.49275000000000002</v>
      </c>
      <c r="G1682" s="158">
        <f>IF(E1682&lt;=30,(0.42*E1682+3.55)*F1682,((0.42*30+3.55)+0.35*(E1682-30))*F1682)</f>
        <v>89.015287500000014</v>
      </c>
      <c r="H1682" s="465"/>
      <c r="I1682" s="465"/>
      <c r="J1682" s="407">
        <f t="shared" si="538"/>
        <v>0</v>
      </c>
      <c r="K1682" s="408"/>
      <c r="L1682" s="152">
        <v>0</v>
      </c>
      <c r="M1682" s="213"/>
      <c r="N1682" s="402">
        <f t="shared" si="548"/>
        <v>0</v>
      </c>
      <c r="O1682" s="402">
        <f t="shared" si="549"/>
        <v>0</v>
      </c>
      <c r="P1682" s="403"/>
      <c r="Q1682" s="464"/>
      <c r="R1682" s="464"/>
      <c r="S1682" s="402">
        <f t="shared" si="550"/>
        <v>0</v>
      </c>
      <c r="T1682" s="404">
        <f t="shared" si="543"/>
        <v>0</v>
      </c>
      <c r="U1682" s="403"/>
      <c r="V1682" s="160" t="str">
        <f>IF(T1681&gt;0,"xx",IF(O1681&gt;0,"xy",""))</f>
        <v/>
      </c>
      <c r="W1682" s="43" t="str">
        <f t="shared" si="535"/>
        <v/>
      </c>
      <c r="X1682" s="43" t="str">
        <f t="shared" si="545"/>
        <v/>
      </c>
      <c r="Y1682" s="43" t="str">
        <f t="shared" si="539"/>
        <v/>
      </c>
    </row>
    <row r="1683" spans="1:25" hidden="1">
      <c r="A1683" s="155" t="s">
        <v>183</v>
      </c>
      <c r="B1683" s="156"/>
      <c r="C1683" s="411" t="s">
        <v>314</v>
      </c>
      <c r="D1683" s="351"/>
      <c r="E1683" s="405">
        <v>180</v>
      </c>
      <c r="F1683" s="406">
        <f>VLOOKUP(C1681,'ENSAIOS DE ORÇAMENTO'!$C$3:$L$79,5,FALSE)</f>
        <v>1.752</v>
      </c>
      <c r="G1683" s="158">
        <f t="shared" ref="G1683:G1685" si="555">IF(E1683&lt;=30,(0.6*E1683+1.25)*F1683,((0.6*30+1.25)+0.5*(E1683-30))*F1683)</f>
        <v>165.126</v>
      </c>
      <c r="H1683" s="465"/>
      <c r="I1683" s="465"/>
      <c r="J1683" s="407">
        <f t="shared" si="538"/>
        <v>0</v>
      </c>
      <c r="K1683" s="408"/>
      <c r="L1683" s="152">
        <v>0</v>
      </c>
      <c r="M1683" s="213"/>
      <c r="N1683" s="402">
        <f t="shared" si="548"/>
        <v>0</v>
      </c>
      <c r="O1683" s="402">
        <f t="shared" si="549"/>
        <v>0</v>
      </c>
      <c r="P1683" s="403"/>
      <c r="Q1683" s="464"/>
      <c r="R1683" s="464"/>
      <c r="S1683" s="402">
        <f t="shared" si="550"/>
        <v>0</v>
      </c>
      <c r="T1683" s="404">
        <f t="shared" si="543"/>
        <v>0</v>
      </c>
      <c r="U1683" s="403"/>
      <c r="V1683" s="160" t="str">
        <f>IF(T1681&gt;0,"xx",IF(O1681&gt;0,"xy",""))</f>
        <v/>
      </c>
      <c r="W1683" s="43" t="str">
        <f t="shared" si="535"/>
        <v/>
      </c>
      <c r="X1683" s="43" t="str">
        <f t="shared" si="545"/>
        <v/>
      </c>
      <c r="Y1683" s="43" t="str">
        <f t="shared" si="539"/>
        <v/>
      </c>
    </row>
    <row r="1684" spans="1:25" hidden="1">
      <c r="A1684" s="155" t="s">
        <v>183</v>
      </c>
      <c r="B1684" s="156"/>
      <c r="C1684" s="411" t="s">
        <v>323</v>
      </c>
      <c r="D1684" s="351"/>
      <c r="E1684" s="405">
        <v>20</v>
      </c>
      <c r="F1684" s="406">
        <f>VLOOKUP(C1681,'ENSAIOS DE ORÇAMENTO'!$C$3:$L$79,6,FALSE)</f>
        <v>2.5747500000000003</v>
      </c>
      <c r="G1684" s="158">
        <f t="shared" si="555"/>
        <v>34.115437500000006</v>
      </c>
      <c r="H1684" s="465"/>
      <c r="I1684" s="465"/>
      <c r="J1684" s="407">
        <f t="shared" si="538"/>
        <v>0</v>
      </c>
      <c r="K1684" s="408"/>
      <c r="L1684" s="152">
        <v>0</v>
      </c>
      <c r="M1684" s="213"/>
      <c r="N1684" s="402">
        <f t="shared" si="548"/>
        <v>0</v>
      </c>
      <c r="O1684" s="402">
        <f t="shared" si="549"/>
        <v>0</v>
      </c>
      <c r="P1684" s="403"/>
      <c r="Q1684" s="464"/>
      <c r="R1684" s="464"/>
      <c r="S1684" s="402">
        <f t="shared" si="550"/>
        <v>0</v>
      </c>
      <c r="T1684" s="404">
        <f t="shared" si="543"/>
        <v>0</v>
      </c>
      <c r="U1684" s="403"/>
      <c r="V1684" s="160" t="str">
        <f>IF(T1681&gt;0,"xx",IF(O1681&gt;0,"xy",""))</f>
        <v/>
      </c>
      <c r="W1684" s="43" t="str">
        <f t="shared" si="535"/>
        <v/>
      </c>
      <c r="X1684" s="43" t="str">
        <f t="shared" si="545"/>
        <v/>
      </c>
      <c r="Y1684" s="43" t="str">
        <f t="shared" si="539"/>
        <v/>
      </c>
    </row>
    <row r="1685" spans="1:25" hidden="1">
      <c r="A1685" s="155" t="s">
        <v>183</v>
      </c>
      <c r="B1685" s="156"/>
      <c r="C1685" s="411" t="s">
        <v>511</v>
      </c>
      <c r="D1685" s="351"/>
      <c r="E1685" s="405">
        <v>30</v>
      </c>
      <c r="F1685" s="406">
        <f>VLOOKUP(C1681,'ENSAIOS DE ORÇAMENTO'!$C$3:$L$79,3,FALSE)</f>
        <v>0</v>
      </c>
      <c r="G1685" s="158">
        <f t="shared" si="555"/>
        <v>0</v>
      </c>
      <c r="H1685" s="465"/>
      <c r="I1685" s="465"/>
      <c r="J1685" s="407">
        <f t="shared" si="538"/>
        <v>0</v>
      </c>
      <c r="K1685" s="408"/>
      <c r="L1685" s="152">
        <v>0</v>
      </c>
      <c r="M1685" s="213"/>
      <c r="N1685" s="402">
        <f t="shared" si="548"/>
        <v>0</v>
      </c>
      <c r="O1685" s="402">
        <f t="shared" si="549"/>
        <v>0</v>
      </c>
      <c r="P1685" s="403"/>
      <c r="Q1685" s="464"/>
      <c r="R1685" s="464"/>
      <c r="S1685" s="402">
        <f t="shared" si="550"/>
        <v>0</v>
      </c>
      <c r="T1685" s="404">
        <f t="shared" si="543"/>
        <v>0</v>
      </c>
      <c r="U1685" s="403"/>
      <c r="V1685" s="160" t="str">
        <f>IF(T1681&gt;0,"xx",IF(O1681&gt;0,"xy",""))</f>
        <v/>
      </c>
      <c r="W1685" s="43" t="str">
        <f t="shared" si="535"/>
        <v/>
      </c>
      <c r="X1685" s="43" t="str">
        <f t="shared" si="545"/>
        <v/>
      </c>
      <c r="Y1685" s="43" t="str">
        <f t="shared" si="539"/>
        <v/>
      </c>
    </row>
    <row r="1686" spans="1:25" hidden="1">
      <c r="A1686" s="155" t="s">
        <v>183</v>
      </c>
      <c r="B1686" s="156"/>
      <c r="C1686" s="411" t="s">
        <v>512</v>
      </c>
      <c r="D1686" s="351"/>
      <c r="E1686" s="405">
        <v>500</v>
      </c>
      <c r="F1686" s="406">
        <f>VLOOKUP(C1681,'ENSAIOS DE ORÇAMENTO'!$C$3:$L$79,10,FALSE)</f>
        <v>0</v>
      </c>
      <c r="G1686" s="158">
        <f t="shared" ref="G1686" si="556">IF(E1686&lt;=30,(0.42*E1686+3.55)*F1686,((0.42*30+3.55)+0.35*(E1686-30))*F1686)</f>
        <v>0</v>
      </c>
      <c r="H1686" s="465"/>
      <c r="I1686" s="465"/>
      <c r="J1686" s="407">
        <f t="shared" si="538"/>
        <v>0</v>
      </c>
      <c r="K1686" s="408"/>
      <c r="L1686" s="152">
        <v>0</v>
      </c>
      <c r="M1686" s="213"/>
      <c r="N1686" s="402">
        <f t="shared" si="548"/>
        <v>0</v>
      </c>
      <c r="O1686" s="402">
        <f t="shared" si="549"/>
        <v>0</v>
      </c>
      <c r="P1686" s="403"/>
      <c r="Q1686" s="464"/>
      <c r="R1686" s="464"/>
      <c r="S1686" s="402">
        <f t="shared" si="550"/>
        <v>0</v>
      </c>
      <c r="T1686" s="404">
        <f t="shared" si="543"/>
        <v>0</v>
      </c>
      <c r="U1686" s="403"/>
      <c r="V1686" s="160" t="str">
        <f>IF(T1681&gt;0,"xx",IF(O1681&gt;0,"xy",""))</f>
        <v/>
      </c>
      <c r="W1686" s="43" t="str">
        <f t="shared" si="535"/>
        <v/>
      </c>
      <c r="X1686" s="43" t="str">
        <f t="shared" si="545"/>
        <v/>
      </c>
      <c r="Y1686" s="43" t="str">
        <f t="shared" si="539"/>
        <v/>
      </c>
    </row>
    <row r="1687" spans="1:25" hidden="1">
      <c r="A1687" s="155" t="s">
        <v>56</v>
      </c>
      <c r="B1687" s="156" t="s">
        <v>242</v>
      </c>
      <c r="C1687" s="411" t="s">
        <v>537</v>
      </c>
      <c r="D1687" s="351"/>
      <c r="E1687" s="405"/>
      <c r="F1687" s="406"/>
      <c r="G1687" s="158">
        <f>SUM(G1688:G1692)</f>
        <v>356.46315300000003</v>
      </c>
      <c r="H1687" s="465">
        <f>VLOOKUP(C1687,'ENSAIOS DE ORÇAMENTO'!$C$3:$L$79,8,FALSE)</f>
        <v>881.21648333333337</v>
      </c>
      <c r="I1687" s="465">
        <f>IF(ISBLANK(H1687),"",SUM(G1687:H1687))*0.9</f>
        <v>1113.9116727000001</v>
      </c>
      <c r="J1687" s="407">
        <f t="shared" si="538"/>
        <v>1412.44</v>
      </c>
      <c r="K1687" s="408" t="s">
        <v>23</v>
      </c>
      <c r="L1687" s="152">
        <v>0</v>
      </c>
      <c r="M1687" s="152"/>
      <c r="N1687" s="402">
        <f t="shared" si="548"/>
        <v>0</v>
      </c>
      <c r="O1687" s="402">
        <f t="shared" si="549"/>
        <v>0</v>
      </c>
      <c r="P1687" s="403"/>
      <c r="Q1687" s="152">
        <f t="shared" ref="Q1687:R1711" si="557">L1687</f>
        <v>0</v>
      </c>
      <c r="R1687" s="152">
        <f t="shared" si="557"/>
        <v>0</v>
      </c>
      <c r="S1687" s="402">
        <f t="shared" si="550"/>
        <v>0</v>
      </c>
      <c r="T1687" s="404">
        <f t="shared" si="543"/>
        <v>0</v>
      </c>
      <c r="U1687" s="403"/>
      <c r="W1687" s="43" t="str">
        <f t="shared" si="535"/>
        <v/>
      </c>
      <c r="X1687" s="43" t="str">
        <f t="shared" si="545"/>
        <v/>
      </c>
      <c r="Y1687" s="43" t="str">
        <f t="shared" si="539"/>
        <v/>
      </c>
    </row>
    <row r="1688" spans="1:25" hidden="1">
      <c r="A1688" s="155" t="s">
        <v>183</v>
      </c>
      <c r="B1688" s="156"/>
      <c r="C1688" s="411" t="s">
        <v>251</v>
      </c>
      <c r="D1688" s="351"/>
      <c r="E1688" s="405">
        <v>500</v>
      </c>
      <c r="F1688" s="406">
        <f>VLOOKUP(C1687,'ENSAIOS DE ORÇAMENTO'!$C$3:$L$79,4,FALSE)</f>
        <v>0.60911999999999999</v>
      </c>
      <c r="G1688" s="158">
        <f>IF(E1688&lt;=30,(0.42*E1688+3.55)*F1688,((0.42*30+3.55)+0.35*(E1688-30))*F1688)</f>
        <v>110.03752800000001</v>
      </c>
      <c r="H1688" s="465"/>
      <c r="I1688" s="465"/>
      <c r="J1688" s="407">
        <f t="shared" si="538"/>
        <v>0</v>
      </c>
      <c r="K1688" s="408"/>
      <c r="L1688" s="152">
        <v>0</v>
      </c>
      <c r="M1688" s="213"/>
      <c r="N1688" s="402">
        <f t="shared" si="548"/>
        <v>0</v>
      </c>
      <c r="O1688" s="402">
        <f t="shared" si="549"/>
        <v>0</v>
      </c>
      <c r="P1688" s="403"/>
      <c r="Q1688" s="464"/>
      <c r="R1688" s="464"/>
      <c r="S1688" s="402">
        <f t="shared" si="550"/>
        <v>0</v>
      </c>
      <c r="T1688" s="404">
        <f t="shared" si="543"/>
        <v>0</v>
      </c>
      <c r="U1688" s="403"/>
      <c r="V1688" s="160" t="str">
        <f>IF(T1687&gt;0,"xx",IF(O1687&gt;0,"xy",""))</f>
        <v/>
      </c>
      <c r="W1688" s="43" t="str">
        <f t="shared" si="535"/>
        <v/>
      </c>
      <c r="X1688" s="43" t="str">
        <f t="shared" si="545"/>
        <v/>
      </c>
      <c r="Y1688" s="43" t="str">
        <f t="shared" si="539"/>
        <v/>
      </c>
    </row>
    <row r="1689" spans="1:25" hidden="1">
      <c r="A1689" s="155" t="s">
        <v>183</v>
      </c>
      <c r="B1689" s="156"/>
      <c r="C1689" s="411" t="s">
        <v>314</v>
      </c>
      <c r="D1689" s="351"/>
      <c r="E1689" s="405">
        <v>180</v>
      </c>
      <c r="F1689" s="406">
        <f>VLOOKUP(C1687,'ENSAIOS DE ORÇAMENTO'!$C$3:$L$79,5,FALSE)</f>
        <v>2.1657600000000001</v>
      </c>
      <c r="G1689" s="158">
        <f t="shared" ref="G1689:G1691" si="558">IF(E1689&lt;=30,(0.6*E1689+1.25)*F1689,((0.6*30+1.25)+0.5*(E1689-30))*F1689)</f>
        <v>204.12288000000001</v>
      </c>
      <c r="H1689" s="465"/>
      <c r="I1689" s="465"/>
      <c r="J1689" s="407">
        <f t="shared" si="538"/>
        <v>0</v>
      </c>
      <c r="K1689" s="408"/>
      <c r="L1689" s="152">
        <v>0</v>
      </c>
      <c r="M1689" s="213"/>
      <c r="N1689" s="402">
        <f t="shared" si="548"/>
        <v>0</v>
      </c>
      <c r="O1689" s="402">
        <f t="shared" si="549"/>
        <v>0</v>
      </c>
      <c r="P1689" s="403"/>
      <c r="Q1689" s="464"/>
      <c r="R1689" s="464"/>
      <c r="S1689" s="402">
        <f t="shared" si="550"/>
        <v>0</v>
      </c>
      <c r="T1689" s="404">
        <f t="shared" si="543"/>
        <v>0</v>
      </c>
      <c r="U1689" s="403"/>
      <c r="V1689" s="160" t="str">
        <f>IF(T1687&gt;0,"xx",IF(O1687&gt;0,"xy",""))</f>
        <v/>
      </c>
      <c r="W1689" s="43" t="str">
        <f t="shared" si="535"/>
        <v/>
      </c>
      <c r="X1689" s="43" t="str">
        <f t="shared" si="545"/>
        <v/>
      </c>
      <c r="Y1689" s="43" t="str">
        <f t="shared" si="539"/>
        <v/>
      </c>
    </row>
    <row r="1690" spans="1:25" hidden="1">
      <c r="A1690" s="155" t="s">
        <v>183</v>
      </c>
      <c r="B1690" s="156"/>
      <c r="C1690" s="411" t="s">
        <v>323</v>
      </c>
      <c r="D1690" s="351"/>
      <c r="E1690" s="405">
        <v>20</v>
      </c>
      <c r="F1690" s="406">
        <f>VLOOKUP(C1687,'ENSAIOS DE ORÇAMENTO'!$C$3:$L$79,6,FALSE)</f>
        <v>3.1926600000000005</v>
      </c>
      <c r="G1690" s="158">
        <f t="shared" si="558"/>
        <v>42.302745000000009</v>
      </c>
      <c r="H1690" s="465"/>
      <c r="I1690" s="465"/>
      <c r="J1690" s="407">
        <f t="shared" si="538"/>
        <v>0</v>
      </c>
      <c r="K1690" s="408"/>
      <c r="L1690" s="152">
        <v>0</v>
      </c>
      <c r="M1690" s="213"/>
      <c r="N1690" s="402">
        <f t="shared" si="548"/>
        <v>0</v>
      </c>
      <c r="O1690" s="402">
        <f t="shared" si="549"/>
        <v>0</v>
      </c>
      <c r="P1690" s="403"/>
      <c r="Q1690" s="464"/>
      <c r="R1690" s="464"/>
      <c r="S1690" s="402">
        <f t="shared" si="550"/>
        <v>0</v>
      </c>
      <c r="T1690" s="404">
        <f t="shared" si="543"/>
        <v>0</v>
      </c>
      <c r="U1690" s="403"/>
      <c r="V1690" s="160" t="str">
        <f>IF(T1687&gt;0,"xx",IF(O1687&gt;0,"xy",""))</f>
        <v/>
      </c>
      <c r="W1690" s="43" t="str">
        <f t="shared" si="535"/>
        <v/>
      </c>
      <c r="X1690" s="43" t="str">
        <f t="shared" si="545"/>
        <v/>
      </c>
      <c r="Y1690" s="43" t="str">
        <f t="shared" si="539"/>
        <v/>
      </c>
    </row>
    <row r="1691" spans="1:25" hidden="1">
      <c r="A1691" s="155" t="s">
        <v>183</v>
      </c>
      <c r="B1691" s="156"/>
      <c r="C1691" s="411" t="s">
        <v>511</v>
      </c>
      <c r="D1691" s="351"/>
      <c r="E1691" s="405">
        <v>30</v>
      </c>
      <c r="F1691" s="406">
        <f>VLOOKUP(C1687,'ENSAIOS DE ORÇAMENTO'!$C$3:$L$79,3,FALSE)</f>
        <v>0</v>
      </c>
      <c r="G1691" s="158">
        <f t="shared" si="558"/>
        <v>0</v>
      </c>
      <c r="H1691" s="465"/>
      <c r="I1691" s="465"/>
      <c r="J1691" s="407">
        <f t="shared" si="538"/>
        <v>0</v>
      </c>
      <c r="K1691" s="408"/>
      <c r="L1691" s="152">
        <v>0</v>
      </c>
      <c r="M1691" s="213"/>
      <c r="N1691" s="402">
        <f t="shared" si="548"/>
        <v>0</v>
      </c>
      <c r="O1691" s="402">
        <f t="shared" si="549"/>
        <v>0</v>
      </c>
      <c r="P1691" s="403"/>
      <c r="Q1691" s="464"/>
      <c r="R1691" s="464"/>
      <c r="S1691" s="402">
        <f t="shared" si="550"/>
        <v>0</v>
      </c>
      <c r="T1691" s="404">
        <f t="shared" si="543"/>
        <v>0</v>
      </c>
      <c r="U1691" s="403"/>
      <c r="V1691" s="160" t="str">
        <f>IF(T1687&gt;0,"xx",IF(O1687&gt;0,"xy",""))</f>
        <v/>
      </c>
      <c r="W1691" s="43" t="str">
        <f t="shared" si="535"/>
        <v/>
      </c>
      <c r="X1691" s="43" t="str">
        <f t="shared" si="545"/>
        <v/>
      </c>
      <c r="Y1691" s="43" t="str">
        <f t="shared" si="539"/>
        <v/>
      </c>
    </row>
    <row r="1692" spans="1:25" hidden="1">
      <c r="A1692" s="155" t="s">
        <v>183</v>
      </c>
      <c r="B1692" s="156"/>
      <c r="C1692" s="411" t="s">
        <v>512</v>
      </c>
      <c r="D1692" s="351"/>
      <c r="E1692" s="405">
        <v>500</v>
      </c>
      <c r="F1692" s="406">
        <f>VLOOKUP(C1687,'ENSAIOS DE ORÇAMENTO'!$C$3:$L$79,10,FALSE)</f>
        <v>0</v>
      </c>
      <c r="G1692" s="158">
        <f t="shared" ref="G1692" si="559">IF(E1692&lt;=30,(0.42*E1692+3.55)*F1692,((0.42*30+3.55)+0.35*(E1692-30))*F1692)</f>
        <v>0</v>
      </c>
      <c r="H1692" s="465"/>
      <c r="I1692" s="465"/>
      <c r="J1692" s="407">
        <f t="shared" si="538"/>
        <v>0</v>
      </c>
      <c r="K1692" s="408"/>
      <c r="L1692" s="152">
        <v>0</v>
      </c>
      <c r="M1692" s="213"/>
      <c r="N1692" s="402">
        <f t="shared" si="548"/>
        <v>0</v>
      </c>
      <c r="O1692" s="402">
        <f t="shared" si="549"/>
        <v>0</v>
      </c>
      <c r="P1692" s="403"/>
      <c r="Q1692" s="464"/>
      <c r="R1692" s="464"/>
      <c r="S1692" s="402">
        <f t="shared" si="550"/>
        <v>0</v>
      </c>
      <c r="T1692" s="404">
        <f t="shared" si="543"/>
        <v>0</v>
      </c>
      <c r="U1692" s="403"/>
      <c r="V1692" s="160" t="str">
        <f>IF(T1687&gt;0,"xx",IF(O1687&gt;0,"xy",""))</f>
        <v/>
      </c>
      <c r="W1692" s="43" t="str">
        <f t="shared" si="535"/>
        <v/>
      </c>
      <c r="X1692" s="43" t="str">
        <f t="shared" si="545"/>
        <v/>
      </c>
      <c r="Y1692" s="43" t="str">
        <f t="shared" si="539"/>
        <v/>
      </c>
    </row>
    <row r="1693" spans="1:25">
      <c r="A1693" s="155" t="s">
        <v>56</v>
      </c>
      <c r="B1693" s="156" t="s">
        <v>242</v>
      </c>
      <c r="C1693" s="411" t="s">
        <v>538</v>
      </c>
      <c r="D1693" s="351"/>
      <c r="E1693" s="405"/>
      <c r="F1693" s="406"/>
      <c r="G1693" s="158">
        <f>SUM(G1694:G1698)</f>
        <v>677.010807</v>
      </c>
      <c r="H1693" s="465">
        <f>VLOOKUP(C1693,'ENSAIOS DE ORÇAMENTO'!$C$3:$L$79,8,FALSE)</f>
        <v>1363.9490599999999</v>
      </c>
      <c r="I1693" s="465">
        <f>IF(ISBLANK(H1693),"",SUM(G1693:H1693))*0.9</f>
        <v>1836.8638803000001</v>
      </c>
      <c r="J1693" s="407">
        <f t="shared" si="538"/>
        <v>2329.14</v>
      </c>
      <c r="K1693" s="408" t="s">
        <v>23</v>
      </c>
      <c r="L1693" s="152">
        <v>2</v>
      </c>
      <c r="M1693" s="152">
        <v>2329.14</v>
      </c>
      <c r="N1693" s="402">
        <f t="shared" si="548"/>
        <v>4658.28</v>
      </c>
      <c r="O1693" s="402">
        <f t="shared" si="549"/>
        <v>4658.28</v>
      </c>
      <c r="P1693" s="403"/>
      <c r="Q1693" s="152">
        <f t="shared" si="557"/>
        <v>2</v>
      </c>
      <c r="R1693" s="152">
        <f t="shared" si="557"/>
        <v>2329.14</v>
      </c>
      <c r="S1693" s="402">
        <f t="shared" si="550"/>
        <v>4658.28</v>
      </c>
      <c r="T1693" s="404">
        <f t="shared" si="543"/>
        <v>4658.28</v>
      </c>
      <c r="U1693" s="403"/>
      <c r="W1693" s="43" t="str">
        <f t="shared" si="535"/>
        <v>x</v>
      </c>
      <c r="X1693" s="43" t="str">
        <f t="shared" si="545"/>
        <v>x</v>
      </c>
      <c r="Y1693" s="43" t="str">
        <f t="shared" si="539"/>
        <v>x</v>
      </c>
    </row>
    <row r="1694" spans="1:25">
      <c r="A1694" s="155" t="s">
        <v>183</v>
      </c>
      <c r="B1694" s="156"/>
      <c r="C1694" s="411" t="s">
        <v>251</v>
      </c>
      <c r="D1694" s="351"/>
      <c r="E1694" s="405">
        <v>530</v>
      </c>
      <c r="F1694" s="406">
        <f>VLOOKUP(C1693,'ENSAIOS DE ORÇAMENTO'!$C$3:$L$79,4,FALSE)</f>
        <v>0.97713000000000005</v>
      </c>
      <c r="G1694" s="158">
        <f>IF(E1694&lt;=30,(0.42*E1694+3.55)*F1694,((0.42*30+3.55)+0.35*(E1694-30))*F1694)</f>
        <v>186.77839950000001</v>
      </c>
      <c r="H1694" s="465"/>
      <c r="I1694" s="465"/>
      <c r="J1694" s="407">
        <f t="shared" si="538"/>
        <v>0</v>
      </c>
      <c r="K1694" s="408"/>
      <c r="L1694" s="152">
        <v>0</v>
      </c>
      <c r="M1694" s="213"/>
      <c r="N1694" s="402">
        <f t="shared" si="548"/>
        <v>0</v>
      </c>
      <c r="O1694" s="402">
        <f t="shared" si="549"/>
        <v>0</v>
      </c>
      <c r="P1694" s="403"/>
      <c r="Q1694" s="464"/>
      <c r="R1694" s="464"/>
      <c r="S1694" s="402">
        <f t="shared" si="550"/>
        <v>0</v>
      </c>
      <c r="T1694" s="404">
        <f t="shared" si="543"/>
        <v>0</v>
      </c>
      <c r="U1694" s="403"/>
      <c r="V1694" s="160" t="str">
        <f>IF(T1693&gt;0,"xx",IF(O1693&gt;0,"xy",""))</f>
        <v>xx</v>
      </c>
      <c r="W1694" s="43" t="str">
        <f t="shared" si="535"/>
        <v>x</v>
      </c>
      <c r="X1694" s="43" t="str">
        <f t="shared" si="545"/>
        <v>x</v>
      </c>
      <c r="Y1694" s="43" t="str">
        <f t="shared" si="539"/>
        <v/>
      </c>
    </row>
    <row r="1695" spans="1:25">
      <c r="A1695" s="155" t="s">
        <v>183</v>
      </c>
      <c r="B1695" s="156"/>
      <c r="C1695" s="411" t="s">
        <v>314</v>
      </c>
      <c r="D1695" s="351"/>
      <c r="E1695" s="405">
        <v>270</v>
      </c>
      <c r="F1695" s="406">
        <f>VLOOKUP(C1693,'ENSAIOS DE ORÇAMENTO'!$C$3:$L$79,5,FALSE)</f>
        <v>3.47424</v>
      </c>
      <c r="G1695" s="158">
        <f t="shared" ref="G1695:G1697" si="560">IF(E1695&lt;=30,(0.6*E1695+1.25)*F1695,((0.6*30+1.25)+0.5*(E1695-30))*F1695)</f>
        <v>483.78791999999999</v>
      </c>
      <c r="H1695" s="465"/>
      <c r="I1695" s="465"/>
      <c r="J1695" s="407">
        <f t="shared" si="538"/>
        <v>0</v>
      </c>
      <c r="K1695" s="408"/>
      <c r="L1695" s="152">
        <v>0</v>
      </c>
      <c r="M1695" s="213"/>
      <c r="N1695" s="402">
        <f t="shared" si="548"/>
        <v>0</v>
      </c>
      <c r="O1695" s="402">
        <f t="shared" si="549"/>
        <v>0</v>
      </c>
      <c r="P1695" s="403"/>
      <c r="Q1695" s="464"/>
      <c r="R1695" s="464"/>
      <c r="S1695" s="402">
        <f t="shared" si="550"/>
        <v>0</v>
      </c>
      <c r="T1695" s="404">
        <f t="shared" si="543"/>
        <v>0</v>
      </c>
      <c r="U1695" s="403"/>
      <c r="V1695" s="160" t="str">
        <f>IF(T1693&gt;0,"xx",IF(O1693&gt;0,"xy",""))</f>
        <v>xx</v>
      </c>
      <c r="W1695" s="43" t="str">
        <f t="shared" si="535"/>
        <v>x</v>
      </c>
      <c r="X1695" s="43" t="str">
        <f t="shared" si="545"/>
        <v>x</v>
      </c>
      <c r="Y1695" s="43" t="str">
        <f t="shared" si="539"/>
        <v/>
      </c>
    </row>
    <row r="1696" spans="1:25">
      <c r="A1696" s="155" t="s">
        <v>183</v>
      </c>
      <c r="B1696" s="156"/>
      <c r="C1696" s="411" t="s">
        <v>323</v>
      </c>
      <c r="D1696" s="351"/>
      <c r="E1696" s="405"/>
      <c r="F1696" s="406">
        <f>VLOOKUP(C1693,'ENSAIOS DE ORÇAMENTO'!$C$3:$L$79,6,FALSE)</f>
        <v>5.1555900000000001</v>
      </c>
      <c r="G1696" s="158">
        <f t="shared" si="560"/>
        <v>6.4444875000000001</v>
      </c>
      <c r="H1696" s="465"/>
      <c r="I1696" s="465"/>
      <c r="J1696" s="407">
        <f t="shared" si="538"/>
        <v>0</v>
      </c>
      <c r="K1696" s="408"/>
      <c r="L1696" s="152">
        <v>0</v>
      </c>
      <c r="M1696" s="213"/>
      <c r="N1696" s="402">
        <f t="shared" si="548"/>
        <v>0</v>
      </c>
      <c r="O1696" s="402">
        <f t="shared" si="549"/>
        <v>0</v>
      </c>
      <c r="P1696" s="403"/>
      <c r="Q1696" s="464"/>
      <c r="R1696" s="464"/>
      <c r="S1696" s="402">
        <f t="shared" si="550"/>
        <v>0</v>
      </c>
      <c r="T1696" s="404">
        <f t="shared" si="543"/>
        <v>0</v>
      </c>
      <c r="U1696" s="403"/>
      <c r="V1696" s="160" t="str">
        <f>IF(T1693&gt;0,"xx",IF(O1693&gt;0,"xy",""))</f>
        <v>xx</v>
      </c>
      <c r="W1696" s="43" t="str">
        <f t="shared" si="535"/>
        <v>x</v>
      </c>
      <c r="X1696" s="43" t="str">
        <f t="shared" si="545"/>
        <v>x</v>
      </c>
      <c r="Y1696" s="43" t="str">
        <f t="shared" si="539"/>
        <v/>
      </c>
    </row>
    <row r="1697" spans="1:25">
      <c r="A1697" s="155" t="s">
        <v>183</v>
      </c>
      <c r="B1697" s="156"/>
      <c r="C1697" s="411" t="s">
        <v>511</v>
      </c>
      <c r="D1697" s="351"/>
      <c r="E1697" s="405"/>
      <c r="F1697" s="406">
        <f>VLOOKUP(C1693,'ENSAIOS DE ORÇAMENTO'!$C$3:$L$79,3,FALSE)</f>
        <v>0</v>
      </c>
      <c r="G1697" s="158">
        <f t="shared" si="560"/>
        <v>0</v>
      </c>
      <c r="H1697" s="465"/>
      <c r="I1697" s="465"/>
      <c r="J1697" s="407">
        <f t="shared" si="538"/>
        <v>0</v>
      </c>
      <c r="K1697" s="408"/>
      <c r="L1697" s="152">
        <v>0</v>
      </c>
      <c r="M1697" s="213"/>
      <c r="N1697" s="402">
        <f t="shared" si="548"/>
        <v>0</v>
      </c>
      <c r="O1697" s="402">
        <f t="shared" si="549"/>
        <v>0</v>
      </c>
      <c r="P1697" s="403"/>
      <c r="Q1697" s="464"/>
      <c r="R1697" s="464"/>
      <c r="S1697" s="402">
        <f t="shared" si="550"/>
        <v>0</v>
      </c>
      <c r="T1697" s="404">
        <f t="shared" si="543"/>
        <v>0</v>
      </c>
      <c r="U1697" s="403"/>
      <c r="V1697" s="160" t="str">
        <f>IF(T1693&gt;0,"xx",IF(O1693&gt;0,"xy",""))</f>
        <v>xx</v>
      </c>
      <c r="W1697" s="43" t="str">
        <f t="shared" si="535"/>
        <v>x</v>
      </c>
      <c r="X1697" s="43" t="str">
        <f t="shared" si="545"/>
        <v>x</v>
      </c>
      <c r="Y1697" s="43" t="str">
        <f t="shared" si="539"/>
        <v/>
      </c>
    </row>
    <row r="1698" spans="1:25" ht="13.5" thickBot="1">
      <c r="A1698" s="155" t="s">
        <v>183</v>
      </c>
      <c r="B1698" s="156"/>
      <c r="C1698" s="411" t="s">
        <v>512</v>
      </c>
      <c r="D1698" s="351"/>
      <c r="E1698" s="405">
        <v>530</v>
      </c>
      <c r="F1698" s="406">
        <f>VLOOKUP(C1693,'ENSAIOS DE ORÇAMENTO'!$C$3:$L$79,10,FALSE)</f>
        <v>0</v>
      </c>
      <c r="G1698" s="158">
        <f t="shared" ref="G1698" si="561">IF(E1698&lt;=30,(0.42*E1698+3.55)*F1698,((0.42*30+3.55)+0.35*(E1698-30))*F1698)</f>
        <v>0</v>
      </c>
      <c r="H1698" s="465"/>
      <c r="I1698" s="465"/>
      <c r="J1698" s="407">
        <f t="shared" si="538"/>
        <v>0</v>
      </c>
      <c r="K1698" s="408"/>
      <c r="L1698" s="152">
        <v>0</v>
      </c>
      <c r="M1698" s="213"/>
      <c r="N1698" s="402">
        <f t="shared" si="548"/>
        <v>0</v>
      </c>
      <c r="O1698" s="402">
        <f t="shared" si="549"/>
        <v>0</v>
      </c>
      <c r="P1698" s="403"/>
      <c r="Q1698" s="464"/>
      <c r="R1698" s="464"/>
      <c r="S1698" s="402">
        <f t="shared" si="550"/>
        <v>0</v>
      </c>
      <c r="T1698" s="404">
        <f t="shared" si="543"/>
        <v>0</v>
      </c>
      <c r="U1698" s="403"/>
      <c r="V1698" s="160" t="str">
        <f>IF(T1693&gt;0,"xx",IF(O1693&gt;0,"xy",""))</f>
        <v>xx</v>
      </c>
      <c r="W1698" s="43" t="str">
        <f t="shared" si="535"/>
        <v>x</v>
      </c>
      <c r="X1698" s="43" t="str">
        <f t="shared" si="545"/>
        <v>x</v>
      </c>
      <c r="Y1698" s="43" t="str">
        <f t="shared" si="539"/>
        <v/>
      </c>
    </row>
    <row r="1699" spans="1:25" ht="13.5" hidden="1" thickBot="1">
      <c r="A1699" s="155" t="s">
        <v>56</v>
      </c>
      <c r="B1699" s="156" t="s">
        <v>242</v>
      </c>
      <c r="C1699" s="411" t="s">
        <v>175</v>
      </c>
      <c r="D1699" s="351"/>
      <c r="E1699" s="405"/>
      <c r="F1699" s="406"/>
      <c r="G1699" s="158">
        <f>SUM(G1700:G1704)</f>
        <v>830.82888899999989</v>
      </c>
      <c r="H1699" s="465">
        <f>VLOOKUP(C1699,'ENSAIOS DE ORÇAMENTO'!$C$3:$L$79,8,FALSE)</f>
        <v>1932.8307766666667</v>
      </c>
      <c r="I1699" s="465">
        <f>IF(ISBLANK(H1699),"",SUM(G1699:H1699))*0.9</f>
        <v>2487.2936991000001</v>
      </c>
      <c r="J1699" s="407">
        <f t="shared" si="538"/>
        <v>3153.89</v>
      </c>
      <c r="K1699" s="408" t="s">
        <v>23</v>
      </c>
      <c r="L1699" s="152">
        <v>0</v>
      </c>
      <c r="M1699" s="152"/>
      <c r="N1699" s="402">
        <f t="shared" si="548"/>
        <v>0</v>
      </c>
      <c r="O1699" s="402">
        <f t="shared" si="549"/>
        <v>0</v>
      </c>
      <c r="P1699" s="403"/>
      <c r="Q1699" s="152">
        <f t="shared" si="557"/>
        <v>0</v>
      </c>
      <c r="R1699" s="152">
        <f t="shared" si="557"/>
        <v>0</v>
      </c>
      <c r="S1699" s="402">
        <f t="shared" si="550"/>
        <v>0</v>
      </c>
      <c r="T1699" s="404">
        <f t="shared" si="543"/>
        <v>0</v>
      </c>
      <c r="U1699" s="403"/>
      <c r="W1699" s="43" t="str">
        <f t="shared" si="535"/>
        <v/>
      </c>
      <c r="X1699" s="43" t="str">
        <f t="shared" si="545"/>
        <v/>
      </c>
      <c r="Y1699" s="43" t="str">
        <f t="shared" si="539"/>
        <v/>
      </c>
    </row>
    <row r="1700" spans="1:25" ht="13.5" hidden="1" thickBot="1">
      <c r="A1700" s="155" t="s">
        <v>183</v>
      </c>
      <c r="B1700" s="156"/>
      <c r="C1700" s="411" t="s">
        <v>251</v>
      </c>
      <c r="D1700" s="351"/>
      <c r="E1700" s="405">
        <v>500</v>
      </c>
      <c r="F1700" s="406">
        <f>VLOOKUP(C1699,'ENSAIOS DE ORÇAMENTO'!$C$3:$L$79,4,FALSE)</f>
        <v>1.41831</v>
      </c>
      <c r="G1700" s="158">
        <f>IF(E1700&lt;=30,(0.42*E1700+3.55)*F1700,((0.42*30+3.55)+0.35*(E1700-30))*F1700)</f>
        <v>256.21770149999998</v>
      </c>
      <c r="H1700" s="465"/>
      <c r="I1700" s="465"/>
      <c r="J1700" s="407">
        <f t="shared" si="538"/>
        <v>0</v>
      </c>
      <c r="K1700" s="408"/>
      <c r="L1700" s="152">
        <v>0</v>
      </c>
      <c r="M1700" s="213"/>
      <c r="N1700" s="402">
        <f t="shared" si="548"/>
        <v>0</v>
      </c>
      <c r="O1700" s="402">
        <f t="shared" si="549"/>
        <v>0</v>
      </c>
      <c r="P1700" s="403"/>
      <c r="Q1700" s="464"/>
      <c r="R1700" s="464"/>
      <c r="S1700" s="402">
        <f t="shared" si="550"/>
        <v>0</v>
      </c>
      <c r="T1700" s="404">
        <f t="shared" si="543"/>
        <v>0</v>
      </c>
      <c r="U1700" s="403"/>
      <c r="V1700" s="160" t="str">
        <f>IF(T1699&gt;0,"xx",IF(O1699&gt;0,"xy",""))</f>
        <v/>
      </c>
      <c r="W1700" s="43" t="str">
        <f t="shared" si="535"/>
        <v/>
      </c>
      <c r="X1700" s="43" t="str">
        <f t="shared" si="545"/>
        <v/>
      </c>
      <c r="Y1700" s="43" t="str">
        <f t="shared" si="539"/>
        <v/>
      </c>
    </row>
    <row r="1701" spans="1:25" ht="13.5" hidden="1" thickBot="1">
      <c r="A1701" s="155" t="s">
        <v>183</v>
      </c>
      <c r="B1701" s="156"/>
      <c r="C1701" s="411" t="s">
        <v>314</v>
      </c>
      <c r="D1701" s="351"/>
      <c r="E1701" s="405">
        <v>180</v>
      </c>
      <c r="F1701" s="406">
        <f>VLOOKUP(C1699,'ENSAIOS DE ORÇAMENTO'!$C$3:$L$79,5,FALSE)</f>
        <v>5.0428800000000003</v>
      </c>
      <c r="G1701" s="158">
        <f t="shared" ref="G1701:G1703" si="562">IF(E1701&lt;=30,(0.6*E1701+1.25)*F1701,((0.6*30+1.25)+0.5*(E1701-30))*F1701)</f>
        <v>475.29144000000002</v>
      </c>
      <c r="H1701" s="465"/>
      <c r="I1701" s="465"/>
      <c r="J1701" s="407">
        <f t="shared" si="538"/>
        <v>0</v>
      </c>
      <c r="K1701" s="408"/>
      <c r="L1701" s="152">
        <v>0</v>
      </c>
      <c r="M1701" s="213"/>
      <c r="N1701" s="402">
        <f t="shared" si="548"/>
        <v>0</v>
      </c>
      <c r="O1701" s="402">
        <f t="shared" si="549"/>
        <v>0</v>
      </c>
      <c r="P1701" s="403"/>
      <c r="Q1701" s="464"/>
      <c r="R1701" s="464"/>
      <c r="S1701" s="402">
        <f t="shared" si="550"/>
        <v>0</v>
      </c>
      <c r="T1701" s="404">
        <f t="shared" si="543"/>
        <v>0</v>
      </c>
      <c r="U1701" s="403"/>
      <c r="V1701" s="160" t="str">
        <f>IF(T1699&gt;0,"xx",IF(O1699&gt;0,"xy",""))</f>
        <v/>
      </c>
      <c r="W1701" s="43" t="str">
        <f t="shared" si="535"/>
        <v/>
      </c>
      <c r="X1701" s="43" t="str">
        <f t="shared" si="545"/>
        <v/>
      </c>
      <c r="Y1701" s="43" t="str">
        <f t="shared" si="539"/>
        <v/>
      </c>
    </row>
    <row r="1702" spans="1:25" ht="13.5" hidden="1" thickBot="1">
      <c r="A1702" s="155" t="s">
        <v>183</v>
      </c>
      <c r="B1702" s="156"/>
      <c r="C1702" s="411" t="s">
        <v>323</v>
      </c>
      <c r="D1702" s="351"/>
      <c r="E1702" s="405">
        <v>20</v>
      </c>
      <c r="F1702" s="406">
        <f>VLOOKUP(C1699,'ENSAIOS DE ORÇAMENTO'!$C$3:$L$79,6,FALSE)</f>
        <v>7.4958299999999998</v>
      </c>
      <c r="G1702" s="158">
        <f t="shared" si="562"/>
        <v>99.319747499999991</v>
      </c>
      <c r="H1702" s="465"/>
      <c r="I1702" s="465"/>
      <c r="J1702" s="407">
        <f t="shared" si="538"/>
        <v>0</v>
      </c>
      <c r="K1702" s="408"/>
      <c r="L1702" s="152">
        <v>0</v>
      </c>
      <c r="M1702" s="213"/>
      <c r="N1702" s="402">
        <f t="shared" si="548"/>
        <v>0</v>
      </c>
      <c r="O1702" s="402">
        <f t="shared" si="549"/>
        <v>0</v>
      </c>
      <c r="P1702" s="403"/>
      <c r="Q1702" s="464"/>
      <c r="R1702" s="464"/>
      <c r="S1702" s="402">
        <f t="shared" si="550"/>
        <v>0</v>
      </c>
      <c r="T1702" s="404">
        <f t="shared" si="543"/>
        <v>0</v>
      </c>
      <c r="U1702" s="403"/>
      <c r="V1702" s="160" t="str">
        <f>IF(T1699&gt;0,"xx",IF(O1699&gt;0,"xy",""))</f>
        <v/>
      </c>
      <c r="W1702" s="43" t="str">
        <f t="shared" si="535"/>
        <v/>
      </c>
      <c r="X1702" s="43" t="str">
        <f t="shared" si="545"/>
        <v/>
      </c>
      <c r="Y1702" s="43" t="str">
        <f t="shared" si="539"/>
        <v/>
      </c>
    </row>
    <row r="1703" spans="1:25" ht="13.5" hidden="1" thickBot="1">
      <c r="A1703" s="155" t="s">
        <v>183</v>
      </c>
      <c r="B1703" s="156"/>
      <c r="C1703" s="411" t="s">
        <v>511</v>
      </c>
      <c r="D1703" s="351"/>
      <c r="E1703" s="405">
        <v>30</v>
      </c>
      <c r="F1703" s="406">
        <f>VLOOKUP(C1699,'ENSAIOS DE ORÇAMENTO'!$C$3:$L$79,3,FALSE)</f>
        <v>0</v>
      </c>
      <c r="G1703" s="158">
        <f t="shared" si="562"/>
        <v>0</v>
      </c>
      <c r="H1703" s="465"/>
      <c r="I1703" s="465"/>
      <c r="J1703" s="407">
        <f t="shared" si="538"/>
        <v>0</v>
      </c>
      <c r="K1703" s="408"/>
      <c r="L1703" s="152">
        <v>0</v>
      </c>
      <c r="M1703" s="213"/>
      <c r="N1703" s="402">
        <f t="shared" si="548"/>
        <v>0</v>
      </c>
      <c r="O1703" s="402">
        <f t="shared" si="549"/>
        <v>0</v>
      </c>
      <c r="P1703" s="403"/>
      <c r="Q1703" s="464"/>
      <c r="R1703" s="464"/>
      <c r="S1703" s="402">
        <f t="shared" si="550"/>
        <v>0</v>
      </c>
      <c r="T1703" s="404">
        <f t="shared" si="543"/>
        <v>0</v>
      </c>
      <c r="U1703" s="403"/>
      <c r="V1703" s="160" t="str">
        <f>IF(T1699&gt;0,"xx",IF(O1699&gt;0,"xy",""))</f>
        <v/>
      </c>
      <c r="W1703" s="43" t="str">
        <f t="shared" si="535"/>
        <v/>
      </c>
      <c r="X1703" s="43" t="str">
        <f t="shared" si="545"/>
        <v/>
      </c>
      <c r="Y1703" s="43" t="str">
        <f t="shared" si="539"/>
        <v/>
      </c>
    </row>
    <row r="1704" spans="1:25" ht="13.5" hidden="1" thickBot="1">
      <c r="A1704" s="155" t="s">
        <v>183</v>
      </c>
      <c r="B1704" s="156"/>
      <c r="C1704" s="411" t="s">
        <v>512</v>
      </c>
      <c r="D1704" s="351"/>
      <c r="E1704" s="405">
        <v>500</v>
      </c>
      <c r="F1704" s="406">
        <f>VLOOKUP(C1699,'ENSAIOS DE ORÇAMENTO'!$C$3:$L$79,10,FALSE)</f>
        <v>0</v>
      </c>
      <c r="G1704" s="158">
        <f t="shared" ref="G1704" si="563">IF(E1704&lt;=30,(0.42*E1704+3.55)*F1704,((0.42*30+3.55)+0.35*(E1704-30))*F1704)</f>
        <v>0</v>
      </c>
      <c r="H1704" s="465"/>
      <c r="I1704" s="465"/>
      <c r="J1704" s="407">
        <f t="shared" si="538"/>
        <v>0</v>
      </c>
      <c r="K1704" s="408"/>
      <c r="L1704" s="152">
        <v>0</v>
      </c>
      <c r="M1704" s="213"/>
      <c r="N1704" s="402">
        <f t="shared" si="548"/>
        <v>0</v>
      </c>
      <c r="O1704" s="402">
        <f t="shared" si="549"/>
        <v>0</v>
      </c>
      <c r="P1704" s="403"/>
      <c r="Q1704" s="464"/>
      <c r="R1704" s="464"/>
      <c r="S1704" s="402">
        <f t="shared" si="550"/>
        <v>0</v>
      </c>
      <c r="T1704" s="404">
        <f t="shared" si="543"/>
        <v>0</v>
      </c>
      <c r="U1704" s="403"/>
      <c r="V1704" s="160" t="str">
        <f>IF(T1699&gt;0,"xx",IF(O1699&gt;0,"xy",""))</f>
        <v/>
      </c>
      <c r="W1704" s="43" t="str">
        <f t="shared" si="535"/>
        <v/>
      </c>
      <c r="X1704" s="43" t="str">
        <f t="shared" si="545"/>
        <v/>
      </c>
      <c r="Y1704" s="43" t="str">
        <f t="shared" si="539"/>
        <v/>
      </c>
    </row>
    <row r="1705" spans="1:25" ht="13.5" hidden="1" thickBot="1">
      <c r="A1705" s="155" t="s">
        <v>56</v>
      </c>
      <c r="B1705" s="156" t="s">
        <v>242</v>
      </c>
      <c r="C1705" s="411" t="s">
        <v>176</v>
      </c>
      <c r="D1705" s="351"/>
      <c r="E1705" s="405"/>
      <c r="F1705" s="406"/>
      <c r="G1705" s="158">
        <f>SUM(G1706:G1710)</f>
        <v>1130.9015610000001</v>
      </c>
      <c r="H1705" s="465">
        <f>VLOOKUP(C1705,'ENSAIOS DE ORÇAMENTO'!$C$3:$L$79,8,FALSE)</f>
        <v>2590.0153100000002</v>
      </c>
      <c r="I1705" s="465">
        <f>IF(ISBLANK(H1705),"",SUM(G1705:H1705))*0.9</f>
        <v>3348.8251839000004</v>
      </c>
      <c r="J1705" s="407">
        <f t="shared" si="538"/>
        <v>4246.3100000000004</v>
      </c>
      <c r="K1705" s="408" t="s">
        <v>23</v>
      </c>
      <c r="L1705" s="152">
        <v>0</v>
      </c>
      <c r="M1705" s="152"/>
      <c r="N1705" s="402">
        <f t="shared" si="548"/>
        <v>0</v>
      </c>
      <c r="O1705" s="402">
        <f t="shared" si="549"/>
        <v>0</v>
      </c>
      <c r="P1705" s="403"/>
      <c r="Q1705" s="152">
        <f t="shared" si="557"/>
        <v>0</v>
      </c>
      <c r="R1705" s="152">
        <f t="shared" si="557"/>
        <v>0</v>
      </c>
      <c r="S1705" s="402">
        <f t="shared" si="550"/>
        <v>0</v>
      </c>
      <c r="T1705" s="404">
        <f t="shared" si="543"/>
        <v>0</v>
      </c>
      <c r="U1705" s="403"/>
      <c r="W1705" s="43" t="str">
        <f t="shared" si="535"/>
        <v/>
      </c>
      <c r="X1705" s="43" t="str">
        <f t="shared" si="545"/>
        <v/>
      </c>
      <c r="Y1705" s="43" t="str">
        <f t="shared" si="539"/>
        <v/>
      </c>
    </row>
    <row r="1706" spans="1:25" ht="13.5" hidden="1" thickBot="1">
      <c r="A1706" s="155" t="s">
        <v>183</v>
      </c>
      <c r="B1706" s="156"/>
      <c r="C1706" s="411" t="s">
        <v>251</v>
      </c>
      <c r="D1706" s="351"/>
      <c r="E1706" s="405">
        <v>500</v>
      </c>
      <c r="F1706" s="406">
        <f>VLOOKUP(C1705,'ENSAIOS DE ORÇAMENTO'!$C$3:$L$79,4,FALSE)</f>
        <v>1.9296900000000001</v>
      </c>
      <c r="G1706" s="158">
        <f>IF(E1706&lt;=30,(0.42*E1706+3.55)*F1706,((0.42*30+3.55)+0.35*(E1706-30))*F1706)</f>
        <v>348.59849850000006</v>
      </c>
      <c r="H1706" s="465"/>
      <c r="I1706" s="465"/>
      <c r="J1706" s="407">
        <f t="shared" si="538"/>
        <v>0</v>
      </c>
      <c r="K1706" s="408"/>
      <c r="L1706" s="152">
        <v>0</v>
      </c>
      <c r="M1706" s="213"/>
      <c r="N1706" s="402">
        <f t="shared" si="548"/>
        <v>0</v>
      </c>
      <c r="O1706" s="402">
        <f t="shared" si="549"/>
        <v>0</v>
      </c>
      <c r="P1706" s="403"/>
      <c r="Q1706" s="464"/>
      <c r="R1706" s="464"/>
      <c r="S1706" s="402">
        <f t="shared" si="550"/>
        <v>0</v>
      </c>
      <c r="T1706" s="404">
        <f t="shared" si="543"/>
        <v>0</v>
      </c>
      <c r="U1706" s="403"/>
      <c r="V1706" s="160" t="str">
        <f>IF(T1705&gt;0,"xx",IF(O1705&gt;0,"xy",""))</f>
        <v/>
      </c>
      <c r="W1706" s="43" t="str">
        <f t="shared" si="535"/>
        <v/>
      </c>
      <c r="X1706" s="43" t="str">
        <f t="shared" si="545"/>
        <v/>
      </c>
      <c r="Y1706" s="43" t="str">
        <f t="shared" si="539"/>
        <v/>
      </c>
    </row>
    <row r="1707" spans="1:25" ht="13.5" hidden="1" thickBot="1">
      <c r="A1707" s="155" t="s">
        <v>183</v>
      </c>
      <c r="B1707" s="156"/>
      <c r="C1707" s="411" t="s">
        <v>314</v>
      </c>
      <c r="D1707" s="351"/>
      <c r="E1707" s="405">
        <v>180</v>
      </c>
      <c r="F1707" s="406">
        <f>VLOOKUP(C1705,'ENSAIOS DE ORÇAMENTO'!$C$3:$L$79,5,FALSE)</f>
        <v>6.8611199999999997</v>
      </c>
      <c r="G1707" s="158">
        <f t="shared" ref="G1707:G1709" si="564">IF(E1707&lt;=30,(0.6*E1707+1.25)*F1707,((0.6*30+1.25)+0.5*(E1707-30))*F1707)</f>
        <v>646.66055999999992</v>
      </c>
      <c r="H1707" s="465"/>
      <c r="I1707" s="465"/>
      <c r="J1707" s="407">
        <f t="shared" si="538"/>
        <v>0</v>
      </c>
      <c r="K1707" s="408"/>
      <c r="L1707" s="152">
        <v>0</v>
      </c>
      <c r="M1707" s="213"/>
      <c r="N1707" s="402">
        <f t="shared" si="548"/>
        <v>0</v>
      </c>
      <c r="O1707" s="402">
        <f t="shared" si="549"/>
        <v>0</v>
      </c>
      <c r="P1707" s="403"/>
      <c r="Q1707" s="464"/>
      <c r="R1707" s="464"/>
      <c r="S1707" s="402">
        <f t="shared" si="550"/>
        <v>0</v>
      </c>
      <c r="T1707" s="404">
        <f t="shared" si="543"/>
        <v>0</v>
      </c>
      <c r="U1707" s="403"/>
      <c r="V1707" s="160" t="str">
        <f>IF(T1705&gt;0,"xx",IF(O1705&gt;0,"xy",""))</f>
        <v/>
      </c>
      <c r="W1707" s="43" t="str">
        <f t="shared" si="535"/>
        <v/>
      </c>
      <c r="X1707" s="43" t="str">
        <f t="shared" si="545"/>
        <v/>
      </c>
      <c r="Y1707" s="43" t="str">
        <f t="shared" si="539"/>
        <v/>
      </c>
    </row>
    <row r="1708" spans="1:25" ht="13.5" hidden="1" thickBot="1">
      <c r="A1708" s="155" t="s">
        <v>183</v>
      </c>
      <c r="B1708" s="156"/>
      <c r="C1708" s="411" t="s">
        <v>323</v>
      </c>
      <c r="D1708" s="351"/>
      <c r="E1708" s="405">
        <v>20</v>
      </c>
      <c r="F1708" s="406">
        <f>VLOOKUP(C1705,'ENSAIOS DE ORÇAMENTO'!$C$3:$L$79,6,FALSE)</f>
        <v>10.237170000000001</v>
      </c>
      <c r="G1708" s="158">
        <f t="shared" si="564"/>
        <v>135.64250250000001</v>
      </c>
      <c r="H1708" s="465"/>
      <c r="I1708" s="465"/>
      <c r="J1708" s="407">
        <f t="shared" si="538"/>
        <v>0</v>
      </c>
      <c r="K1708" s="408"/>
      <c r="L1708" s="152">
        <v>0</v>
      </c>
      <c r="M1708" s="213"/>
      <c r="N1708" s="402">
        <f t="shared" si="548"/>
        <v>0</v>
      </c>
      <c r="O1708" s="402">
        <f t="shared" si="549"/>
        <v>0</v>
      </c>
      <c r="P1708" s="403"/>
      <c r="Q1708" s="464"/>
      <c r="R1708" s="464"/>
      <c r="S1708" s="402">
        <f t="shared" si="550"/>
        <v>0</v>
      </c>
      <c r="T1708" s="404">
        <f t="shared" si="543"/>
        <v>0</v>
      </c>
      <c r="U1708" s="403"/>
      <c r="V1708" s="160" t="str">
        <f>IF(T1705&gt;0,"xx",IF(O1705&gt;0,"xy",""))</f>
        <v/>
      </c>
      <c r="W1708" s="43" t="str">
        <f t="shared" si="535"/>
        <v/>
      </c>
      <c r="X1708" s="43" t="str">
        <f t="shared" si="545"/>
        <v/>
      </c>
      <c r="Y1708" s="43" t="str">
        <f t="shared" si="539"/>
        <v/>
      </c>
    </row>
    <row r="1709" spans="1:25" ht="13.5" hidden="1" thickBot="1">
      <c r="A1709" s="155" t="s">
        <v>183</v>
      </c>
      <c r="B1709" s="156"/>
      <c r="C1709" s="411" t="s">
        <v>511</v>
      </c>
      <c r="D1709" s="351"/>
      <c r="E1709" s="405">
        <v>30</v>
      </c>
      <c r="F1709" s="406">
        <f>VLOOKUP(C1705,'ENSAIOS DE ORÇAMENTO'!$C$3:$L$79,3,FALSE)</f>
        <v>0</v>
      </c>
      <c r="G1709" s="158">
        <f t="shared" si="564"/>
        <v>0</v>
      </c>
      <c r="H1709" s="465"/>
      <c r="I1709" s="465"/>
      <c r="J1709" s="407">
        <f t="shared" si="538"/>
        <v>0</v>
      </c>
      <c r="K1709" s="408"/>
      <c r="L1709" s="152">
        <v>0</v>
      </c>
      <c r="M1709" s="213"/>
      <c r="N1709" s="402">
        <f t="shared" si="548"/>
        <v>0</v>
      </c>
      <c r="O1709" s="402">
        <f t="shared" si="549"/>
        <v>0</v>
      </c>
      <c r="P1709" s="403"/>
      <c r="Q1709" s="464"/>
      <c r="R1709" s="464"/>
      <c r="S1709" s="402">
        <f t="shared" si="550"/>
        <v>0</v>
      </c>
      <c r="T1709" s="404">
        <f t="shared" si="543"/>
        <v>0</v>
      </c>
      <c r="U1709" s="403"/>
      <c r="V1709" s="160" t="str">
        <f>IF(T1705&gt;0,"xx",IF(O1705&gt;0,"xy",""))</f>
        <v/>
      </c>
      <c r="W1709" s="43" t="str">
        <f t="shared" ref="W1709:W1772" si="565">IF(V1709="X","x",IF(V1709="xx","x",IF(V1709="xy","x",IF(V1709="y","x",IF(OR(O1709&gt;0,T1709&gt;0),"x","")))))</f>
        <v/>
      </c>
      <c r="X1709" s="43" t="str">
        <f t="shared" si="545"/>
        <v/>
      </c>
      <c r="Y1709" s="43" t="str">
        <f t="shared" si="539"/>
        <v/>
      </c>
    </row>
    <row r="1710" spans="1:25" ht="13.5" hidden="1" thickBot="1">
      <c r="A1710" s="155" t="s">
        <v>183</v>
      </c>
      <c r="B1710" s="156"/>
      <c r="C1710" s="411" t="s">
        <v>512</v>
      </c>
      <c r="D1710" s="351"/>
      <c r="E1710" s="405">
        <v>500</v>
      </c>
      <c r="F1710" s="406">
        <f>VLOOKUP(C1705,'ENSAIOS DE ORÇAMENTO'!$C$3:$L$79,10,FALSE)</f>
        <v>0</v>
      </c>
      <c r="G1710" s="158">
        <f t="shared" ref="G1710" si="566">IF(E1710&lt;=30,(0.42*E1710+3.55)*F1710,((0.42*30+3.55)+0.35*(E1710-30))*F1710)</f>
        <v>0</v>
      </c>
      <c r="H1710" s="465"/>
      <c r="I1710" s="465"/>
      <c r="J1710" s="407">
        <f t="shared" si="538"/>
        <v>0</v>
      </c>
      <c r="K1710" s="408"/>
      <c r="L1710" s="152">
        <v>0</v>
      </c>
      <c r="M1710" s="213"/>
      <c r="N1710" s="402">
        <f t="shared" si="548"/>
        <v>0</v>
      </c>
      <c r="O1710" s="402">
        <f t="shared" si="549"/>
        <v>0</v>
      </c>
      <c r="P1710" s="403"/>
      <c r="Q1710" s="464"/>
      <c r="R1710" s="464"/>
      <c r="S1710" s="402">
        <f t="shared" si="550"/>
        <v>0</v>
      </c>
      <c r="T1710" s="404">
        <f t="shared" si="543"/>
        <v>0</v>
      </c>
      <c r="U1710" s="403"/>
      <c r="V1710" s="160" t="str">
        <f>IF(T1705&gt;0,"xx",IF(O1705&gt;0,"xy",""))</f>
        <v/>
      </c>
      <c r="W1710" s="43" t="str">
        <f t="shared" si="565"/>
        <v/>
      </c>
      <c r="X1710" s="43" t="str">
        <f t="shared" si="545"/>
        <v/>
      </c>
      <c r="Y1710" s="43" t="str">
        <f t="shared" si="539"/>
        <v/>
      </c>
    </row>
    <row r="1711" spans="1:25" ht="13.5" hidden="1" thickBot="1">
      <c r="A1711" s="155" t="s">
        <v>56</v>
      </c>
      <c r="B1711" s="156" t="s">
        <v>242</v>
      </c>
      <c r="C1711" s="411" t="s">
        <v>177</v>
      </c>
      <c r="D1711" s="351"/>
      <c r="E1711" s="405"/>
      <c r="F1711" s="406"/>
      <c r="G1711" s="158">
        <f>SUM(G1712:G1716)</f>
        <v>1876.0175730000001</v>
      </c>
      <c r="H1711" s="465">
        <f>VLOOKUP(C1711,'ENSAIOS DE ORÇAMENTO'!$C$3:$L$79,8,FALSE)</f>
        <v>4156.0275366666665</v>
      </c>
      <c r="I1711" s="465">
        <f>IF(ISBLANK(H1711),"",SUM(G1711:H1711))*0.9</f>
        <v>5428.8405986999996</v>
      </c>
      <c r="J1711" s="407">
        <f t="shared" si="538"/>
        <v>6883.77</v>
      </c>
      <c r="K1711" s="408" t="s">
        <v>23</v>
      </c>
      <c r="L1711" s="152">
        <v>0</v>
      </c>
      <c r="M1711" s="152"/>
      <c r="N1711" s="402">
        <f t="shared" si="548"/>
        <v>0</v>
      </c>
      <c r="O1711" s="402">
        <f t="shared" si="549"/>
        <v>0</v>
      </c>
      <c r="P1711" s="403"/>
      <c r="Q1711" s="152">
        <f t="shared" si="557"/>
        <v>0</v>
      </c>
      <c r="R1711" s="152">
        <f t="shared" si="557"/>
        <v>0</v>
      </c>
      <c r="S1711" s="402">
        <f t="shared" si="550"/>
        <v>0</v>
      </c>
      <c r="T1711" s="404">
        <f t="shared" si="543"/>
        <v>0</v>
      </c>
      <c r="U1711" s="403"/>
      <c r="W1711" s="43" t="str">
        <f t="shared" si="565"/>
        <v/>
      </c>
      <c r="X1711" s="43" t="str">
        <f t="shared" si="545"/>
        <v/>
      </c>
      <c r="Y1711" s="43" t="str">
        <f t="shared" si="539"/>
        <v/>
      </c>
    </row>
    <row r="1712" spans="1:25" ht="13.5" hidden="1" thickBot="1">
      <c r="A1712" s="155" t="s">
        <v>183</v>
      </c>
      <c r="B1712" s="156"/>
      <c r="C1712" s="411" t="s">
        <v>251</v>
      </c>
      <c r="D1712" s="351"/>
      <c r="E1712" s="405">
        <v>500</v>
      </c>
      <c r="F1712" s="406">
        <f>VLOOKUP(C1711,'ENSAIOS DE ORÇAMENTO'!$C$3:$L$79,4,FALSE)</f>
        <v>3.1984200000000005</v>
      </c>
      <c r="G1712" s="158">
        <f>IF(E1712&lt;=30,(0.42*E1712+3.55)*F1712,((0.42*30+3.55)+0.35*(E1712-30))*F1712)</f>
        <v>577.79457300000013</v>
      </c>
      <c r="H1712" s="465"/>
      <c r="I1712" s="465"/>
      <c r="J1712" s="407">
        <f t="shared" si="538"/>
        <v>0</v>
      </c>
      <c r="K1712" s="408"/>
      <c r="L1712" s="152">
        <v>0</v>
      </c>
      <c r="M1712" s="213"/>
      <c r="N1712" s="402">
        <f t="shared" si="548"/>
        <v>0</v>
      </c>
      <c r="O1712" s="402">
        <f t="shared" si="549"/>
        <v>0</v>
      </c>
      <c r="P1712" s="403"/>
      <c r="Q1712" s="464"/>
      <c r="R1712" s="464"/>
      <c r="S1712" s="402">
        <f t="shared" si="550"/>
        <v>0</v>
      </c>
      <c r="T1712" s="404">
        <f t="shared" si="543"/>
        <v>0</v>
      </c>
      <c r="U1712" s="403"/>
      <c r="V1712" s="160" t="str">
        <f>IF(T1711&gt;0,"xx",IF(O1711&gt;0,"xy",""))</f>
        <v/>
      </c>
      <c r="W1712" s="43" t="str">
        <f t="shared" si="565"/>
        <v/>
      </c>
      <c r="X1712" s="43" t="str">
        <f t="shared" si="545"/>
        <v/>
      </c>
      <c r="Y1712" s="43" t="str">
        <f t="shared" si="539"/>
        <v/>
      </c>
    </row>
    <row r="1713" spans="1:25" ht="13.5" hidden="1" thickBot="1">
      <c r="A1713" s="155" t="s">
        <v>183</v>
      </c>
      <c r="B1713" s="156"/>
      <c r="C1713" s="411" t="s">
        <v>314</v>
      </c>
      <c r="D1713" s="351"/>
      <c r="E1713" s="405">
        <v>180</v>
      </c>
      <c r="F1713" s="406">
        <f>VLOOKUP(C1711,'ENSAIOS DE ORÇAMENTO'!$C$3:$L$79,5,FALSE)</f>
        <v>11.372160000000001</v>
      </c>
      <c r="G1713" s="158">
        <f t="shared" ref="G1713:G1715" si="567">IF(E1713&lt;=30,(0.6*E1713+1.25)*F1713,((0.6*30+1.25)+0.5*(E1713-30))*F1713)</f>
        <v>1071.82608</v>
      </c>
      <c r="H1713" s="465"/>
      <c r="I1713" s="465"/>
      <c r="J1713" s="407">
        <f t="shared" si="538"/>
        <v>0</v>
      </c>
      <c r="K1713" s="408"/>
      <c r="L1713" s="152">
        <v>0</v>
      </c>
      <c r="M1713" s="213"/>
      <c r="N1713" s="402">
        <f t="shared" si="548"/>
        <v>0</v>
      </c>
      <c r="O1713" s="402">
        <f t="shared" si="549"/>
        <v>0</v>
      </c>
      <c r="P1713" s="403"/>
      <c r="Q1713" s="464"/>
      <c r="R1713" s="464"/>
      <c r="S1713" s="402">
        <f t="shared" si="550"/>
        <v>0</v>
      </c>
      <c r="T1713" s="404">
        <f t="shared" si="543"/>
        <v>0</v>
      </c>
      <c r="U1713" s="403"/>
      <c r="V1713" s="160" t="str">
        <f>IF(T1711&gt;0,"xx",IF(O1711&gt;0,"xy",""))</f>
        <v/>
      </c>
      <c r="W1713" s="43" t="str">
        <f t="shared" si="565"/>
        <v/>
      </c>
      <c r="X1713" s="43" t="str">
        <f t="shared" si="545"/>
        <v/>
      </c>
      <c r="Y1713" s="43" t="str">
        <f t="shared" si="539"/>
        <v/>
      </c>
    </row>
    <row r="1714" spans="1:25" ht="13.5" hidden="1" thickBot="1">
      <c r="A1714" s="155" t="s">
        <v>183</v>
      </c>
      <c r="B1714" s="156"/>
      <c r="C1714" s="411" t="s">
        <v>323</v>
      </c>
      <c r="D1714" s="351"/>
      <c r="E1714" s="405">
        <v>20</v>
      </c>
      <c r="F1714" s="406">
        <f>VLOOKUP(C1711,'ENSAIOS DE ORÇAMENTO'!$C$3:$L$79,6,FALSE)</f>
        <v>17.086559999999999</v>
      </c>
      <c r="G1714" s="158">
        <f t="shared" si="567"/>
        <v>226.39691999999999</v>
      </c>
      <c r="H1714" s="465"/>
      <c r="I1714" s="465"/>
      <c r="J1714" s="407">
        <f t="shared" ref="J1714:J1776" si="568">IF(ISBLANK(H1714),0,ROUND(I1714*(1+$E$10)*(1+$E$11*D1714),2))</f>
        <v>0</v>
      </c>
      <c r="K1714" s="408"/>
      <c r="L1714" s="152">
        <v>0</v>
      </c>
      <c r="M1714" s="213"/>
      <c r="N1714" s="402">
        <f t="shared" si="548"/>
        <v>0</v>
      </c>
      <c r="O1714" s="402">
        <f t="shared" si="549"/>
        <v>0</v>
      </c>
      <c r="P1714" s="403"/>
      <c r="Q1714" s="464"/>
      <c r="R1714" s="464"/>
      <c r="S1714" s="402">
        <f t="shared" si="550"/>
        <v>0</v>
      </c>
      <c r="T1714" s="404">
        <f t="shared" si="543"/>
        <v>0</v>
      </c>
      <c r="U1714" s="403"/>
      <c r="V1714" s="160" t="str">
        <f>IF(T1711&gt;0,"xx",IF(O1711&gt;0,"xy",""))</f>
        <v/>
      </c>
      <c r="W1714" s="43" t="str">
        <f t="shared" si="565"/>
        <v/>
      </c>
      <c r="X1714" s="43" t="str">
        <f t="shared" si="545"/>
        <v/>
      </c>
      <c r="Y1714" s="43" t="str">
        <f t="shared" si="539"/>
        <v/>
      </c>
    </row>
    <row r="1715" spans="1:25" ht="13.5" hidden="1" thickBot="1">
      <c r="A1715" s="155" t="s">
        <v>183</v>
      </c>
      <c r="B1715" s="156"/>
      <c r="C1715" s="411" t="s">
        <v>511</v>
      </c>
      <c r="D1715" s="351"/>
      <c r="E1715" s="405">
        <v>30</v>
      </c>
      <c r="F1715" s="406">
        <f>VLOOKUP(C1711,'ENSAIOS DE ORÇAMENTO'!$C$3:$L$79,3,FALSE)</f>
        <v>0</v>
      </c>
      <c r="G1715" s="158">
        <f t="shared" si="567"/>
        <v>0</v>
      </c>
      <c r="H1715" s="465"/>
      <c r="I1715" s="465"/>
      <c r="J1715" s="407">
        <f t="shared" si="568"/>
        <v>0</v>
      </c>
      <c r="K1715" s="408"/>
      <c r="L1715" s="152">
        <v>0</v>
      </c>
      <c r="M1715" s="213"/>
      <c r="N1715" s="402">
        <f t="shared" si="548"/>
        <v>0</v>
      </c>
      <c r="O1715" s="402">
        <f t="shared" si="549"/>
        <v>0</v>
      </c>
      <c r="P1715" s="403"/>
      <c r="Q1715" s="464"/>
      <c r="R1715" s="464"/>
      <c r="S1715" s="402">
        <f t="shared" si="550"/>
        <v>0</v>
      </c>
      <c r="T1715" s="404">
        <f t="shared" si="543"/>
        <v>0</v>
      </c>
      <c r="U1715" s="403"/>
      <c r="V1715" s="160" t="str">
        <f>IF(T1711&gt;0,"xx",IF(O1711&gt;0,"xy",""))</f>
        <v/>
      </c>
      <c r="W1715" s="43" t="str">
        <f t="shared" si="565"/>
        <v/>
      </c>
      <c r="X1715" s="43" t="str">
        <f t="shared" si="545"/>
        <v/>
      </c>
      <c r="Y1715" s="43" t="str">
        <f t="shared" si="539"/>
        <v/>
      </c>
    </row>
    <row r="1716" spans="1:25" ht="13.5" hidden="1" thickBot="1">
      <c r="A1716" s="155" t="s">
        <v>183</v>
      </c>
      <c r="B1716" s="156"/>
      <c r="C1716" s="411" t="s">
        <v>512</v>
      </c>
      <c r="D1716" s="351"/>
      <c r="E1716" s="405">
        <v>500</v>
      </c>
      <c r="F1716" s="406">
        <f>VLOOKUP(C1711,'ENSAIOS DE ORÇAMENTO'!$C$3:$L$79,10,FALSE)</f>
        <v>0</v>
      </c>
      <c r="G1716" s="158">
        <f t="shared" ref="G1716" si="569">IF(E1716&lt;=30,(0.42*E1716+3.55)*F1716,((0.42*30+3.55)+0.35*(E1716-30))*F1716)</f>
        <v>0</v>
      </c>
      <c r="H1716" s="465"/>
      <c r="I1716" s="465"/>
      <c r="J1716" s="407">
        <f t="shared" si="568"/>
        <v>0</v>
      </c>
      <c r="K1716" s="408"/>
      <c r="L1716" s="152">
        <v>0</v>
      </c>
      <c r="M1716" s="213"/>
      <c r="N1716" s="402">
        <f t="shared" si="548"/>
        <v>0</v>
      </c>
      <c r="O1716" s="402">
        <f t="shared" si="549"/>
        <v>0</v>
      </c>
      <c r="P1716" s="403"/>
      <c r="Q1716" s="464"/>
      <c r="R1716" s="464"/>
      <c r="S1716" s="402">
        <f t="shared" si="550"/>
        <v>0</v>
      </c>
      <c r="T1716" s="404">
        <f t="shared" si="543"/>
        <v>0</v>
      </c>
      <c r="U1716" s="403"/>
      <c r="V1716" s="160" t="str">
        <f>IF(T1711&gt;0,"xx",IF(O1711&gt;0,"xy",""))</f>
        <v/>
      </c>
      <c r="W1716" s="43" t="str">
        <f t="shared" si="565"/>
        <v/>
      </c>
      <c r="X1716" s="43" t="str">
        <f t="shared" si="545"/>
        <v/>
      </c>
      <c r="Y1716" s="43" t="str">
        <f t="shared" ref="Y1716:Y1779" si="570">IF(V1716="X","x",IF(T1716&gt;0,"x",""))</f>
        <v/>
      </c>
    </row>
    <row r="1717" spans="1:25" ht="13.5" hidden="1" thickBot="1">
      <c r="A1717" s="155" t="s">
        <v>539</v>
      </c>
      <c r="B1717" s="156" t="s">
        <v>242</v>
      </c>
      <c r="C1717" s="411" t="str">
        <f>'ENSAIOS DE ORÇAMENTO'!C70</f>
        <v>ENSAIO DE ORÇAMENTO 1</v>
      </c>
      <c r="D1717" s="351"/>
      <c r="E1717" s="405"/>
      <c r="F1717" s="406"/>
      <c r="G1717" s="158">
        <f>SUM(G1718:G1722)</f>
        <v>0</v>
      </c>
      <c r="H1717" s="465">
        <f>VLOOKUP(C1717,'ENSAIOS DE ORÇAMENTO'!$C$3:$L$79,8,FALSE)</f>
        <v>0</v>
      </c>
      <c r="I1717" s="465">
        <f>IF(ISBLANK(H1717),"",SUM(G1717:H1717))*0.9</f>
        <v>0</v>
      </c>
      <c r="J1717" s="407">
        <f t="shared" si="568"/>
        <v>0</v>
      </c>
      <c r="K1717" s="408" t="s">
        <v>23</v>
      </c>
      <c r="L1717" s="152">
        <v>0</v>
      </c>
      <c r="M1717" s="152"/>
      <c r="N1717" s="402">
        <f t="shared" si="548"/>
        <v>0</v>
      </c>
      <c r="O1717" s="402">
        <f t="shared" si="549"/>
        <v>0</v>
      </c>
      <c r="P1717" s="403"/>
      <c r="Q1717" s="152">
        <f t="shared" ref="Q1717:R1759" si="571">L1717</f>
        <v>0</v>
      </c>
      <c r="R1717" s="152">
        <f t="shared" si="571"/>
        <v>0</v>
      </c>
      <c r="S1717" s="402">
        <f t="shared" si="550"/>
        <v>0</v>
      </c>
      <c r="T1717" s="404">
        <f t="shared" si="543"/>
        <v>0</v>
      </c>
      <c r="U1717" s="403"/>
      <c r="W1717" s="43" t="str">
        <f t="shared" si="565"/>
        <v/>
      </c>
      <c r="X1717" s="43" t="str">
        <f t="shared" si="545"/>
        <v/>
      </c>
      <c r="Y1717" s="43" t="str">
        <f t="shared" si="570"/>
        <v/>
      </c>
    </row>
    <row r="1718" spans="1:25" ht="13.5" hidden="1" thickBot="1">
      <c r="A1718" s="155" t="s">
        <v>183</v>
      </c>
      <c r="B1718" s="156"/>
      <c r="C1718" s="348" t="s">
        <v>251</v>
      </c>
      <c r="D1718" s="157"/>
      <c r="E1718" s="405">
        <v>500</v>
      </c>
      <c r="F1718" s="406">
        <f>VLOOKUP(C1717,'ENSAIOS DE ORÇAMENTO'!$C$3:$L$79,4,FALSE)</f>
        <v>0</v>
      </c>
      <c r="G1718" s="158">
        <f>IF(E1718&lt;=30,(0.4*E1718+3.35)*F1718,((0.4*30+3.35)+0.33*(E1718-30))*F1718)</f>
        <v>0</v>
      </c>
      <c r="H1718" s="465"/>
      <c r="I1718" s="465" t="str">
        <f t="shared" ref="I1718:I1722" si="572">IF(ISBLANK(H1718),"",SUM(G1718:H1718))</f>
        <v/>
      </c>
      <c r="J1718" s="407">
        <f t="shared" si="568"/>
        <v>0</v>
      </c>
      <c r="K1718" s="394" t="s">
        <v>1029</v>
      </c>
      <c r="L1718" s="152">
        <v>0</v>
      </c>
      <c r="M1718" s="213"/>
      <c r="N1718" s="402">
        <f t="shared" si="548"/>
        <v>0</v>
      </c>
      <c r="O1718" s="402">
        <f t="shared" si="549"/>
        <v>0</v>
      </c>
      <c r="P1718" s="403"/>
      <c r="Q1718" s="212"/>
      <c r="R1718" s="213"/>
      <c r="S1718" s="402">
        <f t="shared" si="550"/>
        <v>0</v>
      </c>
      <c r="T1718" s="404">
        <f t="shared" si="543"/>
        <v>0</v>
      </c>
      <c r="U1718" s="403"/>
      <c r="V1718" s="144" t="str">
        <f>IF(T1717&gt;0,"xx",IF(O1717&gt;0,"xy",""))</f>
        <v/>
      </c>
      <c r="W1718" s="43" t="str">
        <f t="shared" si="565"/>
        <v/>
      </c>
      <c r="X1718" s="43" t="str">
        <f t="shared" si="545"/>
        <v/>
      </c>
      <c r="Y1718" s="43" t="str">
        <f t="shared" si="570"/>
        <v/>
      </c>
    </row>
    <row r="1719" spans="1:25" ht="13.5" hidden="1" thickBot="1">
      <c r="A1719" s="155" t="s">
        <v>183</v>
      </c>
      <c r="B1719" s="156"/>
      <c r="C1719" s="348" t="s">
        <v>314</v>
      </c>
      <c r="D1719" s="157"/>
      <c r="E1719" s="405">
        <v>180</v>
      </c>
      <c r="F1719" s="406">
        <f>VLOOKUP(C1717,'ENSAIOS DE ORÇAMENTO'!$C$3:$L$79,5,FALSE)</f>
        <v>0</v>
      </c>
      <c r="G1719" s="158">
        <f>IF(E1719&lt;=30,(0.57*E1719+1.18)*F1719,((0.57*30+1.18)+0.47*(E1719-30))*F1719)</f>
        <v>0</v>
      </c>
      <c r="H1719" s="465"/>
      <c r="I1719" s="465" t="str">
        <f t="shared" si="572"/>
        <v/>
      </c>
      <c r="J1719" s="407">
        <f t="shared" si="568"/>
        <v>0</v>
      </c>
      <c r="K1719" s="394" t="s">
        <v>1029</v>
      </c>
      <c r="L1719" s="152">
        <v>0</v>
      </c>
      <c r="M1719" s="213"/>
      <c r="N1719" s="402">
        <f t="shared" si="548"/>
        <v>0</v>
      </c>
      <c r="O1719" s="402">
        <f t="shared" si="549"/>
        <v>0</v>
      </c>
      <c r="P1719" s="403"/>
      <c r="Q1719" s="212"/>
      <c r="R1719" s="213"/>
      <c r="S1719" s="402">
        <f t="shared" si="550"/>
        <v>0</v>
      </c>
      <c r="T1719" s="404">
        <f t="shared" si="543"/>
        <v>0</v>
      </c>
      <c r="U1719" s="403"/>
      <c r="V1719" s="144" t="str">
        <f>IF(T1717&gt;0,"xx",IF(O1717&gt;0,"xy",""))</f>
        <v/>
      </c>
      <c r="W1719" s="43" t="str">
        <f t="shared" si="565"/>
        <v/>
      </c>
      <c r="X1719" s="43" t="str">
        <f t="shared" si="545"/>
        <v/>
      </c>
      <c r="Y1719" s="43" t="str">
        <f t="shared" si="570"/>
        <v/>
      </c>
    </row>
    <row r="1720" spans="1:25" ht="13.5" hidden="1" thickBot="1">
      <c r="A1720" s="155" t="s">
        <v>183</v>
      </c>
      <c r="B1720" s="156"/>
      <c r="C1720" s="348" t="s">
        <v>323</v>
      </c>
      <c r="D1720" s="157"/>
      <c r="E1720" s="405">
        <v>20</v>
      </c>
      <c r="F1720" s="406">
        <f>VLOOKUP(C1717,'ENSAIOS DE ORÇAMENTO'!$C$3:$L$79,6,FALSE)</f>
        <v>0</v>
      </c>
      <c r="G1720" s="158">
        <f>IF(E1720&lt;=30,(0.57*E1720+1.18)*F1720,((0.57*30+1.18)+0.47*(E1720-30))*F1720)</f>
        <v>0</v>
      </c>
      <c r="H1720" s="465"/>
      <c r="I1720" s="465" t="str">
        <f t="shared" si="572"/>
        <v/>
      </c>
      <c r="J1720" s="407">
        <f t="shared" si="568"/>
        <v>0</v>
      </c>
      <c r="K1720" s="394" t="s">
        <v>1029</v>
      </c>
      <c r="L1720" s="152">
        <v>0</v>
      </c>
      <c r="M1720" s="213"/>
      <c r="N1720" s="402">
        <f t="shared" si="548"/>
        <v>0</v>
      </c>
      <c r="O1720" s="402">
        <f t="shared" si="549"/>
        <v>0</v>
      </c>
      <c r="P1720" s="403"/>
      <c r="Q1720" s="212"/>
      <c r="R1720" s="213"/>
      <c r="S1720" s="402">
        <f t="shared" si="550"/>
        <v>0</v>
      </c>
      <c r="T1720" s="404">
        <f t="shared" si="543"/>
        <v>0</v>
      </c>
      <c r="U1720" s="403"/>
      <c r="V1720" s="144" t="str">
        <f>IF(T1717&gt;0,"xx",IF(O1717&gt;0,"xy",""))</f>
        <v/>
      </c>
      <c r="W1720" s="43" t="str">
        <f t="shared" si="565"/>
        <v/>
      </c>
      <c r="X1720" s="43" t="str">
        <f t="shared" si="545"/>
        <v/>
      </c>
      <c r="Y1720" s="43" t="str">
        <f t="shared" si="570"/>
        <v/>
      </c>
    </row>
    <row r="1721" spans="1:25" ht="13.5" hidden="1" thickBot="1">
      <c r="A1721" s="155" t="s">
        <v>183</v>
      </c>
      <c r="B1721" s="156"/>
      <c r="C1721" s="348" t="s">
        <v>511</v>
      </c>
      <c r="D1721" s="157"/>
      <c r="E1721" s="405">
        <v>30</v>
      </c>
      <c r="F1721" s="406">
        <f>VLOOKUP(C1717,'ENSAIOS DE ORÇAMENTO'!$C$3:$L$79,3,FALSE)</f>
        <v>0</v>
      </c>
      <c r="G1721" s="412">
        <f t="shared" ref="G1721" si="573">IF(E1721&lt;=30,(0.6*E1721+1.25)*F1721,((0.6*30+1.25)+0.5*(E1721-30))*F1721)</f>
        <v>0</v>
      </c>
      <c r="H1721" s="465"/>
      <c r="I1721" s="465" t="str">
        <f t="shared" si="572"/>
        <v/>
      </c>
      <c r="J1721" s="407">
        <f t="shared" si="568"/>
        <v>0</v>
      </c>
      <c r="K1721" s="394" t="s">
        <v>1029</v>
      </c>
      <c r="L1721" s="152">
        <v>0</v>
      </c>
      <c r="M1721" s="213"/>
      <c r="N1721" s="402">
        <f t="shared" si="548"/>
        <v>0</v>
      </c>
      <c r="O1721" s="402">
        <f t="shared" si="549"/>
        <v>0</v>
      </c>
      <c r="P1721" s="403"/>
      <c r="Q1721" s="212"/>
      <c r="R1721" s="213"/>
      <c r="S1721" s="402">
        <f t="shared" si="550"/>
        <v>0</v>
      </c>
      <c r="T1721" s="404">
        <f t="shared" si="543"/>
        <v>0</v>
      </c>
      <c r="U1721" s="403"/>
      <c r="V1721" s="144" t="str">
        <f>IF(T1717&gt;0,"xx",IF(O1717&gt;0,"xy",""))</f>
        <v/>
      </c>
      <c r="W1721" s="43" t="str">
        <f t="shared" si="565"/>
        <v/>
      </c>
      <c r="X1721" s="43" t="str">
        <f t="shared" si="545"/>
        <v/>
      </c>
      <c r="Y1721" s="43" t="str">
        <f t="shared" si="570"/>
        <v/>
      </c>
    </row>
    <row r="1722" spans="1:25" ht="13.5" hidden="1" thickBot="1">
      <c r="A1722" s="155" t="s">
        <v>183</v>
      </c>
      <c r="B1722" s="156"/>
      <c r="C1722" s="348" t="s">
        <v>512</v>
      </c>
      <c r="D1722" s="157"/>
      <c r="E1722" s="405">
        <v>500</v>
      </c>
      <c r="F1722" s="406">
        <f>VLOOKUP(C1717,'ENSAIOS DE ORÇAMENTO'!$C$3:$L$79,10,FALSE)</f>
        <v>0</v>
      </c>
      <c r="G1722" s="158">
        <f>IF(E1722&lt;=30,(0.4*E1722+3.35)*F1722,((0.4*30+3.35)+0.33*(E1722-30))*F1722)</f>
        <v>0</v>
      </c>
      <c r="H1722" s="465"/>
      <c r="I1722" s="465" t="str">
        <f t="shared" si="572"/>
        <v/>
      </c>
      <c r="J1722" s="407">
        <f t="shared" si="568"/>
        <v>0</v>
      </c>
      <c r="K1722" s="394" t="s">
        <v>1029</v>
      </c>
      <c r="L1722" s="152">
        <v>0</v>
      </c>
      <c r="M1722" s="213"/>
      <c r="N1722" s="402">
        <f t="shared" si="548"/>
        <v>0</v>
      </c>
      <c r="O1722" s="402">
        <f t="shared" si="549"/>
        <v>0</v>
      </c>
      <c r="P1722" s="403"/>
      <c r="Q1722" s="212"/>
      <c r="R1722" s="213"/>
      <c r="S1722" s="402">
        <f t="shared" si="550"/>
        <v>0</v>
      </c>
      <c r="T1722" s="404">
        <f t="shared" si="543"/>
        <v>0</v>
      </c>
      <c r="U1722" s="403"/>
      <c r="V1722" s="144" t="str">
        <f>IF(T1717&gt;0,"xx",IF(O1717&gt;0,"xy",""))</f>
        <v/>
      </c>
      <c r="W1722" s="43" t="str">
        <f t="shared" si="565"/>
        <v/>
      </c>
      <c r="X1722" s="43" t="str">
        <f t="shared" si="545"/>
        <v/>
      </c>
      <c r="Y1722" s="43" t="str">
        <f t="shared" si="570"/>
        <v/>
      </c>
    </row>
    <row r="1723" spans="1:25" ht="13.5" hidden="1" thickBot="1">
      <c r="A1723" s="155" t="s">
        <v>540</v>
      </c>
      <c r="B1723" s="156" t="s">
        <v>242</v>
      </c>
      <c r="C1723" s="411" t="str">
        <f>'ENSAIOS DE ORÇAMENTO'!C71</f>
        <v>ENSAIO DE ORÇAMENTO 2</v>
      </c>
      <c r="D1723" s="351"/>
      <c r="E1723" s="405"/>
      <c r="F1723" s="406"/>
      <c r="G1723" s="158">
        <f>SUM(G1724:G1728)</f>
        <v>0</v>
      </c>
      <c r="H1723" s="465">
        <f>VLOOKUP(C1723,'ENSAIOS DE ORÇAMENTO'!$C$3:$L$79,8,FALSE)</f>
        <v>0</v>
      </c>
      <c r="I1723" s="465">
        <f>IF(ISBLANK(H1723),"",SUM(G1723:H1723))*0.9</f>
        <v>0</v>
      </c>
      <c r="J1723" s="407">
        <f t="shared" si="568"/>
        <v>0</v>
      </c>
      <c r="K1723" s="408" t="s">
        <v>23</v>
      </c>
      <c r="L1723" s="152">
        <v>0</v>
      </c>
      <c r="M1723" s="152"/>
      <c r="N1723" s="402">
        <f t="shared" si="548"/>
        <v>0</v>
      </c>
      <c r="O1723" s="402">
        <f t="shared" si="549"/>
        <v>0</v>
      </c>
      <c r="P1723" s="403"/>
      <c r="Q1723" s="152">
        <f t="shared" si="571"/>
        <v>0</v>
      </c>
      <c r="R1723" s="152">
        <f t="shared" si="571"/>
        <v>0</v>
      </c>
      <c r="S1723" s="402">
        <f t="shared" si="550"/>
        <v>0</v>
      </c>
      <c r="T1723" s="404">
        <f t="shared" si="543"/>
        <v>0</v>
      </c>
      <c r="U1723" s="403"/>
      <c r="W1723" s="43" t="str">
        <f t="shared" si="565"/>
        <v/>
      </c>
      <c r="X1723" s="43" t="str">
        <f t="shared" si="545"/>
        <v/>
      </c>
      <c r="Y1723" s="43" t="str">
        <f t="shared" si="570"/>
        <v/>
      </c>
    </row>
    <row r="1724" spans="1:25" ht="13.5" hidden="1" thickBot="1">
      <c r="A1724" s="155" t="s">
        <v>183</v>
      </c>
      <c r="B1724" s="156"/>
      <c r="C1724" s="348" t="s">
        <v>251</v>
      </c>
      <c r="D1724" s="157"/>
      <c r="E1724" s="405">
        <v>500</v>
      </c>
      <c r="F1724" s="406">
        <f>VLOOKUP(C1723,'ENSAIOS DE ORÇAMENTO'!$C$3:$L$79,4,FALSE)</f>
        <v>0</v>
      </c>
      <c r="G1724" s="158">
        <f>IF(E1724&lt;=30,(0.4*E1724+3.35)*F1724,((0.4*30+3.35)+0.33*(E1724-30))*F1724)</f>
        <v>0</v>
      </c>
      <c r="H1724" s="465"/>
      <c r="I1724" s="465" t="str">
        <f t="shared" ref="I1724:I1728" si="574">IF(ISBLANK(H1724),"",SUM(G1724:H1724))</f>
        <v/>
      </c>
      <c r="J1724" s="407">
        <f t="shared" si="568"/>
        <v>0</v>
      </c>
      <c r="K1724" s="394" t="s">
        <v>1029</v>
      </c>
      <c r="L1724" s="152">
        <v>0</v>
      </c>
      <c r="M1724" s="213"/>
      <c r="N1724" s="402">
        <f t="shared" si="548"/>
        <v>0</v>
      </c>
      <c r="O1724" s="402">
        <f t="shared" si="549"/>
        <v>0</v>
      </c>
      <c r="P1724" s="403"/>
      <c r="Q1724" s="212"/>
      <c r="R1724" s="213"/>
      <c r="S1724" s="402">
        <f t="shared" si="550"/>
        <v>0</v>
      </c>
      <c r="T1724" s="404">
        <f t="shared" si="543"/>
        <v>0</v>
      </c>
      <c r="U1724" s="403"/>
      <c r="V1724" s="144" t="str">
        <f>IF(T1723&gt;0,"xx",IF(O1723&gt;0,"xy",""))</f>
        <v/>
      </c>
      <c r="W1724" s="43" t="str">
        <f t="shared" si="565"/>
        <v/>
      </c>
      <c r="X1724" s="43" t="str">
        <f t="shared" si="545"/>
        <v/>
      </c>
      <c r="Y1724" s="43" t="str">
        <f t="shared" si="570"/>
        <v/>
      </c>
    </row>
    <row r="1725" spans="1:25" ht="13.5" hidden="1" thickBot="1">
      <c r="A1725" s="155" t="s">
        <v>183</v>
      </c>
      <c r="B1725" s="156"/>
      <c r="C1725" s="348" t="s">
        <v>314</v>
      </c>
      <c r="D1725" s="157"/>
      <c r="E1725" s="405">
        <v>180</v>
      </c>
      <c r="F1725" s="406">
        <f>VLOOKUP(C1723,'ENSAIOS DE ORÇAMENTO'!$C$3:$L$79,5,FALSE)</f>
        <v>0</v>
      </c>
      <c r="G1725" s="158">
        <f>IF(E1725&lt;=30,(0.57*E1725+1.18)*F1725,((0.57*30+1.18)+0.47*(E1725-30))*F1725)</f>
        <v>0</v>
      </c>
      <c r="H1725" s="465"/>
      <c r="I1725" s="465" t="str">
        <f t="shared" si="574"/>
        <v/>
      </c>
      <c r="J1725" s="407">
        <f t="shared" si="568"/>
        <v>0</v>
      </c>
      <c r="K1725" s="394" t="s">
        <v>1029</v>
      </c>
      <c r="L1725" s="152">
        <v>0</v>
      </c>
      <c r="M1725" s="213"/>
      <c r="N1725" s="402">
        <f t="shared" si="548"/>
        <v>0</v>
      </c>
      <c r="O1725" s="402">
        <f t="shared" si="549"/>
        <v>0</v>
      </c>
      <c r="P1725" s="403"/>
      <c r="Q1725" s="212"/>
      <c r="R1725" s="213"/>
      <c r="S1725" s="402">
        <f t="shared" si="550"/>
        <v>0</v>
      </c>
      <c r="T1725" s="404">
        <f t="shared" ref="T1725:T1776" si="575">IF(ISBLANK(Q1725),0,ROUND(Q1725*R1725,2))</f>
        <v>0</v>
      </c>
      <c r="U1725" s="403"/>
      <c r="V1725" s="144" t="str">
        <f>IF(T1723&gt;0,"xx",IF(O1723&gt;0,"xy",""))</f>
        <v/>
      </c>
      <c r="W1725" s="43" t="str">
        <f t="shared" si="565"/>
        <v/>
      </c>
      <c r="X1725" s="43" t="str">
        <f t="shared" si="545"/>
        <v/>
      </c>
      <c r="Y1725" s="43" t="str">
        <f t="shared" si="570"/>
        <v/>
      </c>
    </row>
    <row r="1726" spans="1:25" ht="13.5" hidden="1" thickBot="1">
      <c r="A1726" s="155" t="s">
        <v>183</v>
      </c>
      <c r="B1726" s="156"/>
      <c r="C1726" s="348" t="s">
        <v>323</v>
      </c>
      <c r="D1726" s="157"/>
      <c r="E1726" s="405">
        <v>20</v>
      </c>
      <c r="F1726" s="406">
        <f>VLOOKUP(C1723,'ENSAIOS DE ORÇAMENTO'!$C$3:$L$79,6,FALSE)</f>
        <v>0</v>
      </c>
      <c r="G1726" s="158">
        <f>IF(E1726&lt;=30,(0.57*E1726+1.18)*F1726,((0.57*30+1.18)+0.47*(E1726-30))*F1726)</f>
        <v>0</v>
      </c>
      <c r="H1726" s="465"/>
      <c r="I1726" s="465" t="str">
        <f t="shared" si="574"/>
        <v/>
      </c>
      <c r="J1726" s="407">
        <f t="shared" si="568"/>
        <v>0</v>
      </c>
      <c r="K1726" s="394" t="s">
        <v>1029</v>
      </c>
      <c r="L1726" s="152">
        <v>0</v>
      </c>
      <c r="M1726" s="213"/>
      <c r="N1726" s="402">
        <f t="shared" si="548"/>
        <v>0</v>
      </c>
      <c r="O1726" s="402">
        <f t="shared" si="549"/>
        <v>0</v>
      </c>
      <c r="P1726" s="403"/>
      <c r="Q1726" s="212"/>
      <c r="R1726" s="213"/>
      <c r="S1726" s="402">
        <f t="shared" si="550"/>
        <v>0</v>
      </c>
      <c r="T1726" s="404">
        <f t="shared" si="575"/>
        <v>0</v>
      </c>
      <c r="U1726" s="403"/>
      <c r="V1726" s="144" t="str">
        <f>IF(T1723&gt;0,"xx",IF(O1723&gt;0,"xy",""))</f>
        <v/>
      </c>
      <c r="W1726" s="43" t="str">
        <f t="shared" si="565"/>
        <v/>
      </c>
      <c r="X1726" s="43" t="str">
        <f t="shared" si="545"/>
        <v/>
      </c>
      <c r="Y1726" s="43" t="str">
        <f t="shared" si="570"/>
        <v/>
      </c>
    </row>
    <row r="1727" spans="1:25" ht="13.5" hidden="1" thickBot="1">
      <c r="A1727" s="155" t="s">
        <v>183</v>
      </c>
      <c r="B1727" s="156"/>
      <c r="C1727" s="348" t="s">
        <v>511</v>
      </c>
      <c r="D1727" s="157"/>
      <c r="E1727" s="405">
        <v>30</v>
      </c>
      <c r="F1727" s="406">
        <f>VLOOKUP(C1723,'ENSAIOS DE ORÇAMENTO'!$C$3:$L$79,3,FALSE)</f>
        <v>0</v>
      </c>
      <c r="G1727" s="412">
        <f t="shared" ref="G1727" si="576">IF(E1727&lt;=30,(0.6*E1727+1.25)*F1727,((0.6*30+1.25)+0.5*(E1727-30))*F1727)</f>
        <v>0</v>
      </c>
      <c r="H1727" s="465"/>
      <c r="I1727" s="465" t="str">
        <f t="shared" si="574"/>
        <v/>
      </c>
      <c r="J1727" s="407">
        <f t="shared" si="568"/>
        <v>0</v>
      </c>
      <c r="K1727" s="394" t="s">
        <v>1029</v>
      </c>
      <c r="L1727" s="152">
        <v>0</v>
      </c>
      <c r="M1727" s="213"/>
      <c r="N1727" s="402">
        <f t="shared" si="548"/>
        <v>0</v>
      </c>
      <c r="O1727" s="402">
        <f t="shared" si="549"/>
        <v>0</v>
      </c>
      <c r="P1727" s="403"/>
      <c r="Q1727" s="212"/>
      <c r="R1727" s="213"/>
      <c r="S1727" s="402">
        <f t="shared" si="550"/>
        <v>0</v>
      </c>
      <c r="T1727" s="404">
        <f t="shared" si="575"/>
        <v>0</v>
      </c>
      <c r="U1727" s="403"/>
      <c r="V1727" s="144" t="str">
        <f>IF(T1723&gt;0,"xx",IF(O1723&gt;0,"xy",""))</f>
        <v/>
      </c>
      <c r="W1727" s="43" t="str">
        <f t="shared" si="565"/>
        <v/>
      </c>
      <c r="X1727" s="43" t="str">
        <f t="shared" ref="X1727:X1790" si="577">IF(V1727="X","x",IF(V1727="y","x",IF(V1727="xx","x",IF(T1727&gt;0,"x",""))))</f>
        <v/>
      </c>
      <c r="Y1727" s="43" t="str">
        <f t="shared" si="570"/>
        <v/>
      </c>
    </row>
    <row r="1728" spans="1:25" ht="13.5" hidden="1" thickBot="1">
      <c r="A1728" s="155" t="s">
        <v>183</v>
      </c>
      <c r="B1728" s="156"/>
      <c r="C1728" s="348" t="s">
        <v>512</v>
      </c>
      <c r="D1728" s="157"/>
      <c r="E1728" s="405">
        <v>500</v>
      </c>
      <c r="F1728" s="406">
        <f>VLOOKUP(C1723,'ENSAIOS DE ORÇAMENTO'!$C$3:$L$79,10,FALSE)</f>
        <v>0</v>
      </c>
      <c r="G1728" s="158">
        <f>IF(E1728&lt;=30,(0.4*E1728+3.35)*F1728,((0.4*30+3.35)+0.33*(E1728-30))*F1728)</f>
        <v>0</v>
      </c>
      <c r="H1728" s="465"/>
      <c r="I1728" s="465" t="str">
        <f t="shared" si="574"/>
        <v/>
      </c>
      <c r="J1728" s="407">
        <f t="shared" si="568"/>
        <v>0</v>
      </c>
      <c r="K1728" s="394" t="s">
        <v>1029</v>
      </c>
      <c r="L1728" s="152">
        <v>0</v>
      </c>
      <c r="M1728" s="213"/>
      <c r="N1728" s="402">
        <f t="shared" si="548"/>
        <v>0</v>
      </c>
      <c r="O1728" s="402">
        <f t="shared" si="549"/>
        <v>0</v>
      </c>
      <c r="P1728" s="403"/>
      <c r="Q1728" s="212"/>
      <c r="R1728" s="213"/>
      <c r="S1728" s="402">
        <f t="shared" si="550"/>
        <v>0</v>
      </c>
      <c r="T1728" s="404">
        <f t="shared" si="575"/>
        <v>0</v>
      </c>
      <c r="U1728" s="403"/>
      <c r="V1728" s="144" t="str">
        <f>IF(T1723&gt;0,"xx",IF(O1723&gt;0,"xy",""))</f>
        <v/>
      </c>
      <c r="W1728" s="43" t="str">
        <f t="shared" si="565"/>
        <v/>
      </c>
      <c r="X1728" s="43" t="str">
        <f t="shared" si="577"/>
        <v/>
      </c>
      <c r="Y1728" s="43" t="str">
        <f t="shared" si="570"/>
        <v/>
      </c>
    </row>
    <row r="1729" spans="1:25" ht="13.5" hidden="1" thickBot="1">
      <c r="A1729" s="155" t="s">
        <v>541</v>
      </c>
      <c r="B1729" s="156" t="s">
        <v>242</v>
      </c>
      <c r="C1729" s="411" t="str">
        <f>'ENSAIOS DE ORÇAMENTO'!C72</f>
        <v>ENSAIO DE ORÇAMENTO 3</v>
      </c>
      <c r="D1729" s="351"/>
      <c r="E1729" s="405"/>
      <c r="F1729" s="406"/>
      <c r="G1729" s="158">
        <f>SUM(G1730:G1734)</f>
        <v>0</v>
      </c>
      <c r="H1729" s="465">
        <f>VLOOKUP(C1729,'ENSAIOS DE ORÇAMENTO'!$C$3:$L$79,8,FALSE)</f>
        <v>0</v>
      </c>
      <c r="I1729" s="465">
        <f>IF(ISBLANK(H1729),"",SUM(G1729:H1729))*0.9</f>
        <v>0</v>
      </c>
      <c r="J1729" s="407">
        <f t="shared" si="568"/>
        <v>0</v>
      </c>
      <c r="K1729" s="408" t="s">
        <v>23</v>
      </c>
      <c r="L1729" s="152">
        <v>0</v>
      </c>
      <c r="M1729" s="152"/>
      <c r="N1729" s="402">
        <f t="shared" si="548"/>
        <v>0</v>
      </c>
      <c r="O1729" s="402">
        <f t="shared" si="549"/>
        <v>0</v>
      </c>
      <c r="P1729" s="403"/>
      <c r="Q1729" s="152">
        <f t="shared" si="571"/>
        <v>0</v>
      </c>
      <c r="R1729" s="152">
        <f t="shared" si="571"/>
        <v>0</v>
      </c>
      <c r="S1729" s="402">
        <f t="shared" si="550"/>
        <v>0</v>
      </c>
      <c r="T1729" s="404">
        <f t="shared" si="575"/>
        <v>0</v>
      </c>
      <c r="U1729" s="403"/>
      <c r="W1729" s="43" t="str">
        <f t="shared" si="565"/>
        <v/>
      </c>
      <c r="X1729" s="43" t="str">
        <f t="shared" si="577"/>
        <v/>
      </c>
      <c r="Y1729" s="43" t="str">
        <f t="shared" si="570"/>
        <v/>
      </c>
    </row>
    <row r="1730" spans="1:25" ht="13.5" hidden="1" thickBot="1">
      <c r="A1730" s="155" t="s">
        <v>183</v>
      </c>
      <c r="B1730" s="156"/>
      <c r="C1730" s="348" t="s">
        <v>251</v>
      </c>
      <c r="D1730" s="157"/>
      <c r="E1730" s="405">
        <v>500</v>
      </c>
      <c r="F1730" s="406">
        <f>VLOOKUP(C1729,'ENSAIOS DE ORÇAMENTO'!$C$3:$L$79,4,FALSE)</f>
        <v>0</v>
      </c>
      <c r="G1730" s="158">
        <f>IF(E1730&lt;=30,(0.4*E1730+3.35)*F1730,((0.4*30+3.35)+0.33*(E1730-30))*F1730)</f>
        <v>0</v>
      </c>
      <c r="H1730" s="465"/>
      <c r="I1730" s="465" t="str">
        <f t="shared" ref="I1730:I1734" si="578">IF(ISBLANK(H1730),"",SUM(G1730:H1730))</f>
        <v/>
      </c>
      <c r="J1730" s="407">
        <f t="shared" si="568"/>
        <v>0</v>
      </c>
      <c r="K1730" s="394" t="s">
        <v>1029</v>
      </c>
      <c r="L1730" s="152">
        <v>0</v>
      </c>
      <c r="M1730" s="213"/>
      <c r="N1730" s="402">
        <f t="shared" si="548"/>
        <v>0</v>
      </c>
      <c r="O1730" s="402">
        <f t="shared" si="549"/>
        <v>0</v>
      </c>
      <c r="P1730" s="403"/>
      <c r="Q1730" s="212"/>
      <c r="R1730" s="213"/>
      <c r="S1730" s="402">
        <f t="shared" si="550"/>
        <v>0</v>
      </c>
      <c r="T1730" s="404">
        <f t="shared" si="575"/>
        <v>0</v>
      </c>
      <c r="U1730" s="403"/>
      <c r="V1730" s="144" t="str">
        <f>IF(T1729&gt;0,"xx",IF(O1729&gt;0,"xy",""))</f>
        <v/>
      </c>
      <c r="W1730" s="43" t="str">
        <f t="shared" si="565"/>
        <v/>
      </c>
      <c r="X1730" s="43" t="str">
        <f t="shared" si="577"/>
        <v/>
      </c>
      <c r="Y1730" s="43" t="str">
        <f t="shared" si="570"/>
        <v/>
      </c>
    </row>
    <row r="1731" spans="1:25" ht="13.5" hidden="1" thickBot="1">
      <c r="A1731" s="155" t="s">
        <v>183</v>
      </c>
      <c r="B1731" s="156"/>
      <c r="C1731" s="348" t="s">
        <v>314</v>
      </c>
      <c r="D1731" s="157"/>
      <c r="E1731" s="405">
        <v>180</v>
      </c>
      <c r="F1731" s="406">
        <f>VLOOKUP(C1729,'ENSAIOS DE ORÇAMENTO'!$C$3:$L$79,5,FALSE)</f>
        <v>0</v>
      </c>
      <c r="G1731" s="158">
        <f>IF(E1731&lt;=30,(0.57*E1731+1.18)*F1731,((0.57*30+1.18)+0.47*(E1731-30))*F1731)</f>
        <v>0</v>
      </c>
      <c r="H1731" s="465"/>
      <c r="I1731" s="465" t="str">
        <f t="shared" si="578"/>
        <v/>
      </c>
      <c r="J1731" s="407">
        <f t="shared" si="568"/>
        <v>0</v>
      </c>
      <c r="K1731" s="394" t="s">
        <v>1029</v>
      </c>
      <c r="L1731" s="152">
        <v>0</v>
      </c>
      <c r="M1731" s="213"/>
      <c r="N1731" s="402">
        <f t="shared" si="548"/>
        <v>0</v>
      </c>
      <c r="O1731" s="402">
        <f t="shared" si="549"/>
        <v>0</v>
      </c>
      <c r="P1731" s="403"/>
      <c r="Q1731" s="212"/>
      <c r="R1731" s="213"/>
      <c r="S1731" s="402">
        <f t="shared" si="550"/>
        <v>0</v>
      </c>
      <c r="T1731" s="404">
        <f t="shared" si="575"/>
        <v>0</v>
      </c>
      <c r="U1731" s="403"/>
      <c r="V1731" s="144" t="str">
        <f>IF(T1729&gt;0,"xx",IF(O1729&gt;0,"xy",""))</f>
        <v/>
      </c>
      <c r="W1731" s="43" t="str">
        <f t="shared" si="565"/>
        <v/>
      </c>
      <c r="X1731" s="43" t="str">
        <f t="shared" si="577"/>
        <v/>
      </c>
      <c r="Y1731" s="43" t="str">
        <f t="shared" si="570"/>
        <v/>
      </c>
    </row>
    <row r="1732" spans="1:25" ht="13.5" hidden="1" thickBot="1">
      <c r="A1732" s="155" t="s">
        <v>183</v>
      </c>
      <c r="B1732" s="156"/>
      <c r="C1732" s="348" t="s">
        <v>323</v>
      </c>
      <c r="D1732" s="157"/>
      <c r="E1732" s="405">
        <v>20</v>
      </c>
      <c r="F1732" s="406">
        <f>VLOOKUP(C1729,'ENSAIOS DE ORÇAMENTO'!$C$3:$L$79,6,FALSE)</f>
        <v>0</v>
      </c>
      <c r="G1732" s="158">
        <f>IF(E1732&lt;=30,(0.57*E1732+1.18)*F1732,((0.57*30+1.18)+0.47*(E1732-30))*F1732)</f>
        <v>0</v>
      </c>
      <c r="H1732" s="465"/>
      <c r="I1732" s="465" t="str">
        <f t="shared" si="578"/>
        <v/>
      </c>
      <c r="J1732" s="407">
        <f t="shared" si="568"/>
        <v>0</v>
      </c>
      <c r="K1732" s="394" t="s">
        <v>1029</v>
      </c>
      <c r="L1732" s="152">
        <v>0</v>
      </c>
      <c r="M1732" s="213"/>
      <c r="N1732" s="402">
        <f t="shared" si="548"/>
        <v>0</v>
      </c>
      <c r="O1732" s="402">
        <f t="shared" si="549"/>
        <v>0</v>
      </c>
      <c r="P1732" s="403"/>
      <c r="Q1732" s="212"/>
      <c r="R1732" s="213"/>
      <c r="S1732" s="402">
        <f t="shared" si="550"/>
        <v>0</v>
      </c>
      <c r="T1732" s="404">
        <f t="shared" si="575"/>
        <v>0</v>
      </c>
      <c r="U1732" s="403"/>
      <c r="V1732" s="144" t="str">
        <f>IF(T1729&gt;0,"xx",IF(O1729&gt;0,"xy",""))</f>
        <v/>
      </c>
      <c r="W1732" s="43" t="str">
        <f t="shared" si="565"/>
        <v/>
      </c>
      <c r="X1732" s="43" t="str">
        <f t="shared" si="577"/>
        <v/>
      </c>
      <c r="Y1732" s="43" t="str">
        <f t="shared" si="570"/>
        <v/>
      </c>
    </row>
    <row r="1733" spans="1:25" ht="13.5" hidden="1" thickBot="1">
      <c r="A1733" s="155" t="s">
        <v>183</v>
      </c>
      <c r="B1733" s="156"/>
      <c r="C1733" s="348" t="s">
        <v>511</v>
      </c>
      <c r="D1733" s="157"/>
      <c r="E1733" s="405">
        <v>30</v>
      </c>
      <c r="F1733" s="406">
        <f>VLOOKUP(C1729,'ENSAIOS DE ORÇAMENTO'!$C$3:$L$79,3,FALSE)</f>
        <v>0</v>
      </c>
      <c r="G1733" s="412">
        <f t="shared" ref="G1733" si="579">IF(E1733&lt;=30,(0.6*E1733+1.25)*F1733,((0.6*30+1.25)+0.5*(E1733-30))*F1733)</f>
        <v>0</v>
      </c>
      <c r="H1733" s="465"/>
      <c r="I1733" s="465" t="str">
        <f t="shared" si="578"/>
        <v/>
      </c>
      <c r="J1733" s="407">
        <f t="shared" si="568"/>
        <v>0</v>
      </c>
      <c r="K1733" s="394" t="s">
        <v>1029</v>
      </c>
      <c r="L1733" s="152">
        <v>0</v>
      </c>
      <c r="M1733" s="213"/>
      <c r="N1733" s="402">
        <f t="shared" si="548"/>
        <v>0</v>
      </c>
      <c r="O1733" s="402">
        <f t="shared" si="549"/>
        <v>0</v>
      </c>
      <c r="P1733" s="403"/>
      <c r="Q1733" s="212"/>
      <c r="R1733" s="213"/>
      <c r="S1733" s="402">
        <f t="shared" si="550"/>
        <v>0</v>
      </c>
      <c r="T1733" s="404">
        <f t="shared" si="575"/>
        <v>0</v>
      </c>
      <c r="U1733" s="403"/>
      <c r="V1733" s="144" t="str">
        <f>IF(T1729&gt;0,"xx",IF(O1729&gt;0,"xy",""))</f>
        <v/>
      </c>
      <c r="W1733" s="43" t="str">
        <f t="shared" si="565"/>
        <v/>
      </c>
      <c r="X1733" s="43" t="str">
        <f t="shared" si="577"/>
        <v/>
      </c>
      <c r="Y1733" s="43" t="str">
        <f t="shared" si="570"/>
        <v/>
      </c>
    </row>
    <row r="1734" spans="1:25" ht="13.5" hidden="1" thickBot="1">
      <c r="A1734" s="155" t="s">
        <v>183</v>
      </c>
      <c r="B1734" s="156"/>
      <c r="C1734" s="348" t="s">
        <v>512</v>
      </c>
      <c r="D1734" s="157"/>
      <c r="E1734" s="405">
        <v>500</v>
      </c>
      <c r="F1734" s="406">
        <f>VLOOKUP(C1729,'ENSAIOS DE ORÇAMENTO'!$C$3:$L$79,10,FALSE)</f>
        <v>0</v>
      </c>
      <c r="G1734" s="158">
        <f>IF(E1734&lt;=30,(0.4*E1734+3.35)*F1734,((0.4*30+3.35)+0.33*(E1734-30))*F1734)</f>
        <v>0</v>
      </c>
      <c r="H1734" s="465"/>
      <c r="I1734" s="465" t="str">
        <f t="shared" si="578"/>
        <v/>
      </c>
      <c r="J1734" s="407">
        <f t="shared" si="568"/>
        <v>0</v>
      </c>
      <c r="K1734" s="394" t="s">
        <v>1029</v>
      </c>
      <c r="L1734" s="152">
        <v>0</v>
      </c>
      <c r="M1734" s="213"/>
      <c r="N1734" s="402">
        <f t="shared" ref="N1734:N1776" si="580">IF(ISBLANK(L1734),0,ROUND(J1734*L1734,2))</f>
        <v>0</v>
      </c>
      <c r="O1734" s="402">
        <f t="shared" ref="O1734:O1776" si="581">IF(ISBLANK(M1734),0,ROUND(L1734*M1734,2))</f>
        <v>0</v>
      </c>
      <c r="P1734" s="403"/>
      <c r="Q1734" s="212"/>
      <c r="R1734" s="213"/>
      <c r="S1734" s="402">
        <f t="shared" ref="S1734:S1776" si="582">IF(ISBLANK(Q1734),0,ROUND(J1734*Q1734,2))</f>
        <v>0</v>
      </c>
      <c r="T1734" s="404">
        <f t="shared" si="575"/>
        <v>0</v>
      </c>
      <c r="U1734" s="403"/>
      <c r="V1734" s="144" t="str">
        <f>IF(T1729&gt;0,"xx",IF(O1729&gt;0,"xy",""))</f>
        <v/>
      </c>
      <c r="W1734" s="43" t="str">
        <f t="shared" si="565"/>
        <v/>
      </c>
      <c r="X1734" s="43" t="str">
        <f t="shared" si="577"/>
        <v/>
      </c>
      <c r="Y1734" s="43" t="str">
        <f t="shared" si="570"/>
        <v/>
      </c>
    </row>
    <row r="1735" spans="1:25" ht="13.5" hidden="1" thickBot="1">
      <c r="A1735" s="155" t="s">
        <v>542</v>
      </c>
      <c r="B1735" s="156" t="s">
        <v>242</v>
      </c>
      <c r="C1735" s="411" t="str">
        <f>'ENSAIOS DE ORÇAMENTO'!C73</f>
        <v>ENSAIO DE ORÇAMENTO 4</v>
      </c>
      <c r="D1735" s="351"/>
      <c r="E1735" s="405"/>
      <c r="F1735" s="406"/>
      <c r="G1735" s="158">
        <f>SUM(G1736:G1740)</f>
        <v>0</v>
      </c>
      <c r="H1735" s="465">
        <f>VLOOKUP(C1735,'ENSAIOS DE ORÇAMENTO'!$C$3:$L$79,8,FALSE)</f>
        <v>0</v>
      </c>
      <c r="I1735" s="465">
        <f>IF(ISBLANK(H1735),"",SUM(G1735:H1735))*0.9</f>
        <v>0</v>
      </c>
      <c r="J1735" s="407">
        <f t="shared" si="568"/>
        <v>0</v>
      </c>
      <c r="K1735" s="408" t="s">
        <v>23</v>
      </c>
      <c r="L1735" s="152">
        <v>0</v>
      </c>
      <c r="M1735" s="152"/>
      <c r="N1735" s="402">
        <f t="shared" si="580"/>
        <v>0</v>
      </c>
      <c r="O1735" s="402">
        <f t="shared" si="581"/>
        <v>0</v>
      </c>
      <c r="P1735" s="403"/>
      <c r="Q1735" s="152">
        <f t="shared" si="571"/>
        <v>0</v>
      </c>
      <c r="R1735" s="152">
        <f t="shared" si="571"/>
        <v>0</v>
      </c>
      <c r="S1735" s="402">
        <f t="shared" si="582"/>
        <v>0</v>
      </c>
      <c r="T1735" s="404">
        <f t="shared" si="575"/>
        <v>0</v>
      </c>
      <c r="U1735" s="403"/>
      <c r="W1735" s="43" t="str">
        <f t="shared" si="565"/>
        <v/>
      </c>
      <c r="X1735" s="43" t="str">
        <f t="shared" si="577"/>
        <v/>
      </c>
      <c r="Y1735" s="43" t="str">
        <f t="shared" si="570"/>
        <v/>
      </c>
    </row>
    <row r="1736" spans="1:25" ht="13.5" hidden="1" thickBot="1">
      <c r="A1736" s="155" t="s">
        <v>183</v>
      </c>
      <c r="B1736" s="156"/>
      <c r="C1736" s="348" t="s">
        <v>251</v>
      </c>
      <c r="D1736" s="157"/>
      <c r="E1736" s="405">
        <v>500</v>
      </c>
      <c r="F1736" s="406">
        <f>VLOOKUP(C1735,'ENSAIOS DE ORÇAMENTO'!$C$3:$L$79,4,FALSE)</f>
        <v>0</v>
      </c>
      <c r="G1736" s="158">
        <f>IF(E1736&lt;=30,(0.4*E1736+3.35)*F1736,((0.4*30+3.35)+0.33*(E1736-30))*F1736)</f>
        <v>0</v>
      </c>
      <c r="H1736" s="465"/>
      <c r="I1736" s="465" t="str">
        <f t="shared" ref="I1736:I1740" si="583">IF(ISBLANK(H1736),"",SUM(G1736:H1736))</f>
        <v/>
      </c>
      <c r="J1736" s="407">
        <f t="shared" si="568"/>
        <v>0</v>
      </c>
      <c r="K1736" s="394" t="s">
        <v>1029</v>
      </c>
      <c r="L1736" s="152">
        <v>0</v>
      </c>
      <c r="M1736" s="213"/>
      <c r="N1736" s="402">
        <f t="shared" si="580"/>
        <v>0</v>
      </c>
      <c r="O1736" s="402">
        <f t="shared" si="581"/>
        <v>0</v>
      </c>
      <c r="P1736" s="403"/>
      <c r="Q1736" s="212"/>
      <c r="R1736" s="213"/>
      <c r="S1736" s="402">
        <f t="shared" si="582"/>
        <v>0</v>
      </c>
      <c r="T1736" s="404">
        <f t="shared" si="575"/>
        <v>0</v>
      </c>
      <c r="U1736" s="403"/>
      <c r="V1736" s="144" t="str">
        <f>IF(T1735&gt;0,"xx",IF(O1735&gt;0,"xy",""))</f>
        <v/>
      </c>
      <c r="W1736" s="43" t="str">
        <f t="shared" si="565"/>
        <v/>
      </c>
      <c r="X1736" s="43" t="str">
        <f t="shared" si="577"/>
        <v/>
      </c>
      <c r="Y1736" s="43" t="str">
        <f t="shared" si="570"/>
        <v/>
      </c>
    </row>
    <row r="1737" spans="1:25" ht="13.5" hidden="1" thickBot="1">
      <c r="A1737" s="155" t="s">
        <v>183</v>
      </c>
      <c r="B1737" s="156"/>
      <c r="C1737" s="348" t="s">
        <v>314</v>
      </c>
      <c r="D1737" s="157"/>
      <c r="E1737" s="405">
        <v>180</v>
      </c>
      <c r="F1737" s="406">
        <f>VLOOKUP(C1735,'ENSAIOS DE ORÇAMENTO'!$C$3:$L$79,5,FALSE)</f>
        <v>0</v>
      </c>
      <c r="G1737" s="158">
        <f>IF(E1737&lt;=30,(0.57*E1737+1.18)*F1737,((0.57*30+1.18)+0.47*(E1737-30))*F1737)</f>
        <v>0</v>
      </c>
      <c r="H1737" s="465"/>
      <c r="I1737" s="465" t="str">
        <f t="shared" si="583"/>
        <v/>
      </c>
      <c r="J1737" s="407">
        <f t="shared" si="568"/>
        <v>0</v>
      </c>
      <c r="K1737" s="394" t="s">
        <v>1029</v>
      </c>
      <c r="L1737" s="152">
        <v>0</v>
      </c>
      <c r="M1737" s="213"/>
      <c r="N1737" s="402">
        <f t="shared" si="580"/>
        <v>0</v>
      </c>
      <c r="O1737" s="402">
        <f t="shared" si="581"/>
        <v>0</v>
      </c>
      <c r="P1737" s="403"/>
      <c r="Q1737" s="212"/>
      <c r="R1737" s="213"/>
      <c r="S1737" s="402">
        <f t="shared" si="582"/>
        <v>0</v>
      </c>
      <c r="T1737" s="404">
        <f t="shared" si="575"/>
        <v>0</v>
      </c>
      <c r="U1737" s="403"/>
      <c r="V1737" s="144" t="str">
        <f>IF(T1735&gt;0,"xx",IF(O1735&gt;0,"xy",""))</f>
        <v/>
      </c>
      <c r="W1737" s="43" t="str">
        <f t="shared" si="565"/>
        <v/>
      </c>
      <c r="X1737" s="43" t="str">
        <f t="shared" si="577"/>
        <v/>
      </c>
      <c r="Y1737" s="43" t="str">
        <f t="shared" si="570"/>
        <v/>
      </c>
    </row>
    <row r="1738" spans="1:25" ht="13.5" hidden="1" thickBot="1">
      <c r="A1738" s="155" t="s">
        <v>183</v>
      </c>
      <c r="B1738" s="156"/>
      <c r="C1738" s="348" t="s">
        <v>323</v>
      </c>
      <c r="D1738" s="157"/>
      <c r="E1738" s="405">
        <v>20</v>
      </c>
      <c r="F1738" s="406">
        <f>VLOOKUP(C1735,'ENSAIOS DE ORÇAMENTO'!$C$3:$L$79,6,FALSE)</f>
        <v>0</v>
      </c>
      <c r="G1738" s="158">
        <f>IF(E1738&lt;=30,(0.57*E1738+1.18)*F1738,((0.57*30+1.18)+0.47*(E1738-30))*F1738)</f>
        <v>0</v>
      </c>
      <c r="H1738" s="465"/>
      <c r="I1738" s="465" t="str">
        <f t="shared" si="583"/>
        <v/>
      </c>
      <c r="J1738" s="407">
        <f t="shared" si="568"/>
        <v>0</v>
      </c>
      <c r="K1738" s="394" t="s">
        <v>1029</v>
      </c>
      <c r="L1738" s="152">
        <v>0</v>
      </c>
      <c r="M1738" s="213"/>
      <c r="N1738" s="402">
        <f t="shared" si="580"/>
        <v>0</v>
      </c>
      <c r="O1738" s="402">
        <f t="shared" si="581"/>
        <v>0</v>
      </c>
      <c r="P1738" s="403"/>
      <c r="Q1738" s="212"/>
      <c r="R1738" s="213"/>
      <c r="S1738" s="402">
        <f t="shared" si="582"/>
        <v>0</v>
      </c>
      <c r="T1738" s="404">
        <f t="shared" si="575"/>
        <v>0</v>
      </c>
      <c r="U1738" s="403"/>
      <c r="V1738" s="144" t="str">
        <f>IF(T1735&gt;0,"xx",IF(O1735&gt;0,"xy",""))</f>
        <v/>
      </c>
      <c r="W1738" s="43" t="str">
        <f t="shared" si="565"/>
        <v/>
      </c>
      <c r="X1738" s="43" t="str">
        <f t="shared" si="577"/>
        <v/>
      </c>
      <c r="Y1738" s="43" t="str">
        <f t="shared" si="570"/>
        <v/>
      </c>
    </row>
    <row r="1739" spans="1:25" ht="13.5" hidden="1" thickBot="1">
      <c r="A1739" s="155" t="s">
        <v>183</v>
      </c>
      <c r="B1739" s="156"/>
      <c r="C1739" s="348" t="s">
        <v>511</v>
      </c>
      <c r="D1739" s="157"/>
      <c r="E1739" s="405">
        <v>30</v>
      </c>
      <c r="F1739" s="406">
        <f>VLOOKUP(C1735,'ENSAIOS DE ORÇAMENTO'!$C$3:$L$79,3,FALSE)</f>
        <v>0</v>
      </c>
      <c r="G1739" s="412">
        <f t="shared" ref="G1739" si="584">IF(E1739&lt;=30,(0.6*E1739+1.25)*F1739,((0.6*30+1.25)+0.5*(E1739-30))*F1739)</f>
        <v>0</v>
      </c>
      <c r="H1739" s="465"/>
      <c r="I1739" s="465" t="str">
        <f t="shared" si="583"/>
        <v/>
      </c>
      <c r="J1739" s="407">
        <f t="shared" si="568"/>
        <v>0</v>
      </c>
      <c r="K1739" s="394" t="s">
        <v>1029</v>
      </c>
      <c r="L1739" s="152">
        <v>0</v>
      </c>
      <c r="M1739" s="213"/>
      <c r="N1739" s="402">
        <f t="shared" si="580"/>
        <v>0</v>
      </c>
      <c r="O1739" s="402">
        <f t="shared" si="581"/>
        <v>0</v>
      </c>
      <c r="P1739" s="403"/>
      <c r="Q1739" s="212"/>
      <c r="R1739" s="213"/>
      <c r="S1739" s="402">
        <f t="shared" si="582"/>
        <v>0</v>
      </c>
      <c r="T1739" s="404">
        <f t="shared" si="575"/>
        <v>0</v>
      </c>
      <c r="U1739" s="403"/>
      <c r="V1739" s="144" t="str">
        <f>IF(T1735&gt;0,"xx",IF(O1735&gt;0,"xy",""))</f>
        <v/>
      </c>
      <c r="W1739" s="43" t="str">
        <f t="shared" si="565"/>
        <v/>
      </c>
      <c r="X1739" s="43" t="str">
        <f t="shared" si="577"/>
        <v/>
      </c>
      <c r="Y1739" s="43" t="str">
        <f t="shared" si="570"/>
        <v/>
      </c>
    </row>
    <row r="1740" spans="1:25" ht="13.5" hidden="1" thickBot="1">
      <c r="A1740" s="155" t="s">
        <v>183</v>
      </c>
      <c r="B1740" s="156"/>
      <c r="C1740" s="348" t="s">
        <v>512</v>
      </c>
      <c r="D1740" s="157"/>
      <c r="E1740" s="405">
        <v>500</v>
      </c>
      <c r="F1740" s="406">
        <f>VLOOKUP(C1735,'ENSAIOS DE ORÇAMENTO'!$C$3:$L$79,10,FALSE)</f>
        <v>0</v>
      </c>
      <c r="G1740" s="158">
        <f>IF(E1740&lt;=30,(0.4*E1740+3.35)*F1740,((0.4*30+3.35)+0.33*(E1740-30))*F1740)</f>
        <v>0</v>
      </c>
      <c r="H1740" s="465"/>
      <c r="I1740" s="465" t="str">
        <f t="shared" si="583"/>
        <v/>
      </c>
      <c r="J1740" s="407">
        <f t="shared" si="568"/>
        <v>0</v>
      </c>
      <c r="K1740" s="394" t="s">
        <v>1029</v>
      </c>
      <c r="L1740" s="152">
        <v>0</v>
      </c>
      <c r="M1740" s="213"/>
      <c r="N1740" s="402">
        <f t="shared" si="580"/>
        <v>0</v>
      </c>
      <c r="O1740" s="402">
        <f t="shared" si="581"/>
        <v>0</v>
      </c>
      <c r="P1740" s="403"/>
      <c r="Q1740" s="212"/>
      <c r="R1740" s="213"/>
      <c r="S1740" s="402">
        <f t="shared" si="582"/>
        <v>0</v>
      </c>
      <c r="T1740" s="404">
        <f t="shared" si="575"/>
        <v>0</v>
      </c>
      <c r="U1740" s="403"/>
      <c r="V1740" s="144" t="str">
        <f>IF(T1735&gt;0,"xx",IF(O1735&gt;0,"xy",""))</f>
        <v/>
      </c>
      <c r="W1740" s="43" t="str">
        <f t="shared" si="565"/>
        <v/>
      </c>
      <c r="X1740" s="43" t="str">
        <f t="shared" si="577"/>
        <v/>
      </c>
      <c r="Y1740" s="43" t="str">
        <f t="shared" si="570"/>
        <v/>
      </c>
    </row>
    <row r="1741" spans="1:25" ht="13.5" hidden="1" thickBot="1">
      <c r="A1741" s="155" t="s">
        <v>543</v>
      </c>
      <c r="B1741" s="156" t="s">
        <v>242</v>
      </c>
      <c r="C1741" s="411" t="str">
        <f>'ENSAIOS DE ORÇAMENTO'!C74</f>
        <v>ENSAIO DE ORÇAMENTO 5</v>
      </c>
      <c r="D1741" s="351"/>
      <c r="E1741" s="405"/>
      <c r="F1741" s="406"/>
      <c r="G1741" s="158">
        <f>SUM(G1742:G1746)</f>
        <v>0</v>
      </c>
      <c r="H1741" s="465">
        <f>VLOOKUP(C1741,'ENSAIOS DE ORÇAMENTO'!$C$3:$L$79,8,FALSE)</f>
        <v>0</v>
      </c>
      <c r="I1741" s="465">
        <f>IF(ISBLANK(H1741),"",SUM(G1741:H1741))*0.9</f>
        <v>0</v>
      </c>
      <c r="J1741" s="407">
        <f t="shared" si="568"/>
        <v>0</v>
      </c>
      <c r="K1741" s="408" t="s">
        <v>23</v>
      </c>
      <c r="L1741" s="152">
        <v>0</v>
      </c>
      <c r="M1741" s="152"/>
      <c r="N1741" s="402">
        <f t="shared" si="580"/>
        <v>0</v>
      </c>
      <c r="O1741" s="402">
        <f t="shared" si="581"/>
        <v>0</v>
      </c>
      <c r="P1741" s="403"/>
      <c r="Q1741" s="152">
        <f t="shared" si="571"/>
        <v>0</v>
      </c>
      <c r="R1741" s="152">
        <f t="shared" si="571"/>
        <v>0</v>
      </c>
      <c r="S1741" s="402">
        <f t="shared" si="582"/>
        <v>0</v>
      </c>
      <c r="T1741" s="404">
        <f t="shared" si="575"/>
        <v>0</v>
      </c>
      <c r="U1741" s="403"/>
      <c r="W1741" s="43" t="str">
        <f t="shared" si="565"/>
        <v/>
      </c>
      <c r="X1741" s="43" t="str">
        <f t="shared" si="577"/>
        <v/>
      </c>
      <c r="Y1741" s="43" t="str">
        <f t="shared" si="570"/>
        <v/>
      </c>
    </row>
    <row r="1742" spans="1:25" ht="13.5" hidden="1" thickBot="1">
      <c r="A1742" s="155" t="s">
        <v>183</v>
      </c>
      <c r="B1742" s="156"/>
      <c r="C1742" s="348" t="s">
        <v>251</v>
      </c>
      <c r="D1742" s="157"/>
      <c r="E1742" s="405">
        <v>500</v>
      </c>
      <c r="F1742" s="406">
        <f>VLOOKUP(C1741,'ENSAIOS DE ORÇAMENTO'!$C$3:$L$79,4,FALSE)</f>
        <v>0</v>
      </c>
      <c r="G1742" s="158">
        <f>IF(E1742&lt;=30,(0.4*E1742+3.35)*F1742,((0.4*30+3.35)+0.33*(E1742-30))*F1742)</f>
        <v>0</v>
      </c>
      <c r="H1742" s="465"/>
      <c r="I1742" s="465" t="str">
        <f t="shared" ref="I1742:I1746" si="585">IF(ISBLANK(H1742),"",SUM(G1742:H1742))</f>
        <v/>
      </c>
      <c r="J1742" s="407">
        <f t="shared" si="568"/>
        <v>0</v>
      </c>
      <c r="K1742" s="394" t="s">
        <v>1029</v>
      </c>
      <c r="L1742" s="152">
        <v>0</v>
      </c>
      <c r="M1742" s="213"/>
      <c r="N1742" s="402">
        <f t="shared" si="580"/>
        <v>0</v>
      </c>
      <c r="O1742" s="402">
        <f t="shared" si="581"/>
        <v>0</v>
      </c>
      <c r="P1742" s="403"/>
      <c r="Q1742" s="212"/>
      <c r="R1742" s="213"/>
      <c r="S1742" s="402">
        <f t="shared" si="582"/>
        <v>0</v>
      </c>
      <c r="T1742" s="404">
        <f t="shared" si="575"/>
        <v>0</v>
      </c>
      <c r="U1742" s="403"/>
      <c r="V1742" s="144" t="str">
        <f>IF(T1741&gt;0,"xx",IF(O1741&gt;0,"xy",""))</f>
        <v/>
      </c>
      <c r="W1742" s="43" t="str">
        <f t="shared" si="565"/>
        <v/>
      </c>
      <c r="X1742" s="43" t="str">
        <f t="shared" si="577"/>
        <v/>
      </c>
      <c r="Y1742" s="43" t="str">
        <f t="shared" si="570"/>
        <v/>
      </c>
    </row>
    <row r="1743" spans="1:25" ht="13.5" hidden="1" thickBot="1">
      <c r="A1743" s="155" t="s">
        <v>183</v>
      </c>
      <c r="B1743" s="156"/>
      <c r="C1743" s="348" t="s">
        <v>314</v>
      </c>
      <c r="D1743" s="157"/>
      <c r="E1743" s="405">
        <v>180</v>
      </c>
      <c r="F1743" s="406">
        <f>VLOOKUP(C1741,'ENSAIOS DE ORÇAMENTO'!$C$3:$L$79,5,FALSE)</f>
        <v>0</v>
      </c>
      <c r="G1743" s="158">
        <f>IF(E1743&lt;=30,(0.57*E1743+1.18)*F1743,((0.57*30+1.18)+0.47*(E1743-30))*F1743)</f>
        <v>0</v>
      </c>
      <c r="H1743" s="465"/>
      <c r="I1743" s="465" t="str">
        <f t="shared" si="585"/>
        <v/>
      </c>
      <c r="J1743" s="407">
        <f t="shared" si="568"/>
        <v>0</v>
      </c>
      <c r="K1743" s="394" t="s">
        <v>1029</v>
      </c>
      <c r="L1743" s="152">
        <v>0</v>
      </c>
      <c r="M1743" s="213"/>
      <c r="N1743" s="402">
        <f t="shared" si="580"/>
        <v>0</v>
      </c>
      <c r="O1743" s="402">
        <f t="shared" si="581"/>
        <v>0</v>
      </c>
      <c r="P1743" s="403"/>
      <c r="Q1743" s="212"/>
      <c r="R1743" s="213"/>
      <c r="S1743" s="402">
        <f t="shared" si="582"/>
        <v>0</v>
      </c>
      <c r="T1743" s="404">
        <f t="shared" si="575"/>
        <v>0</v>
      </c>
      <c r="U1743" s="403"/>
      <c r="V1743" s="144" t="str">
        <f>IF(T1741&gt;0,"xx",IF(O1741&gt;0,"xy",""))</f>
        <v/>
      </c>
      <c r="W1743" s="43" t="str">
        <f t="shared" si="565"/>
        <v/>
      </c>
      <c r="X1743" s="43" t="str">
        <f t="shared" si="577"/>
        <v/>
      </c>
      <c r="Y1743" s="43" t="str">
        <f t="shared" si="570"/>
        <v/>
      </c>
    </row>
    <row r="1744" spans="1:25" ht="13.5" hidden="1" thickBot="1">
      <c r="A1744" s="155" t="s">
        <v>183</v>
      </c>
      <c r="B1744" s="156"/>
      <c r="C1744" s="348" t="s">
        <v>323</v>
      </c>
      <c r="D1744" s="157"/>
      <c r="E1744" s="405">
        <v>20</v>
      </c>
      <c r="F1744" s="406">
        <f>VLOOKUP(C1741,'ENSAIOS DE ORÇAMENTO'!$C$3:$L$79,6,FALSE)</f>
        <v>0</v>
      </c>
      <c r="G1744" s="158">
        <f>IF(E1744&lt;=30,(0.57*E1744+1.18)*F1744,((0.57*30+1.18)+0.47*(E1744-30))*F1744)</f>
        <v>0</v>
      </c>
      <c r="H1744" s="465"/>
      <c r="I1744" s="465" t="str">
        <f t="shared" si="585"/>
        <v/>
      </c>
      <c r="J1744" s="407">
        <f t="shared" si="568"/>
        <v>0</v>
      </c>
      <c r="K1744" s="394" t="s">
        <v>1029</v>
      </c>
      <c r="L1744" s="152">
        <v>0</v>
      </c>
      <c r="M1744" s="213"/>
      <c r="N1744" s="402">
        <f t="shared" si="580"/>
        <v>0</v>
      </c>
      <c r="O1744" s="402">
        <f t="shared" si="581"/>
        <v>0</v>
      </c>
      <c r="P1744" s="403"/>
      <c r="Q1744" s="212"/>
      <c r="R1744" s="213"/>
      <c r="S1744" s="402">
        <f t="shared" si="582"/>
        <v>0</v>
      </c>
      <c r="T1744" s="404">
        <f t="shared" si="575"/>
        <v>0</v>
      </c>
      <c r="U1744" s="403"/>
      <c r="V1744" s="144" t="str">
        <f>IF(T1741&gt;0,"xx",IF(O1741&gt;0,"xy",""))</f>
        <v/>
      </c>
      <c r="W1744" s="43" t="str">
        <f t="shared" si="565"/>
        <v/>
      </c>
      <c r="X1744" s="43" t="str">
        <f t="shared" si="577"/>
        <v/>
      </c>
      <c r="Y1744" s="43" t="str">
        <f t="shared" si="570"/>
        <v/>
      </c>
    </row>
    <row r="1745" spans="1:25" ht="13.5" hidden="1" thickBot="1">
      <c r="A1745" s="155" t="s">
        <v>183</v>
      </c>
      <c r="B1745" s="156"/>
      <c r="C1745" s="411" t="s">
        <v>511</v>
      </c>
      <c r="D1745" s="351"/>
      <c r="E1745" s="405">
        <v>30</v>
      </c>
      <c r="F1745" s="406">
        <f>VLOOKUP(C1741,'ENSAIOS DE ORÇAMENTO'!$C$3:$L$79,3,FALSE)</f>
        <v>0</v>
      </c>
      <c r="G1745" s="158">
        <f t="shared" ref="G1745" si="586">IF(E1745&lt;=30,(0.6*E1745+1.25)*F1745,((0.6*30+1.25)+0.5*(E1745-30))*F1745)</f>
        <v>0</v>
      </c>
      <c r="H1745" s="465"/>
      <c r="I1745" s="465" t="str">
        <f t="shared" si="585"/>
        <v/>
      </c>
      <c r="J1745" s="407">
        <f t="shared" si="568"/>
        <v>0</v>
      </c>
      <c r="K1745" s="408" t="s">
        <v>1029</v>
      </c>
      <c r="L1745" s="152">
        <v>0</v>
      </c>
      <c r="M1745" s="464"/>
      <c r="N1745" s="402">
        <f t="shared" si="580"/>
        <v>0</v>
      </c>
      <c r="O1745" s="402">
        <f t="shared" si="581"/>
        <v>0</v>
      </c>
      <c r="P1745" s="403"/>
      <c r="Q1745" s="464"/>
      <c r="R1745" s="464"/>
      <c r="S1745" s="402">
        <f t="shared" si="582"/>
        <v>0</v>
      </c>
      <c r="T1745" s="404">
        <f t="shared" si="575"/>
        <v>0</v>
      </c>
      <c r="U1745" s="403"/>
      <c r="V1745" s="160" t="str">
        <f>IF(T1741&gt;0,"xx",IF(O1741&gt;0,"xy",""))</f>
        <v/>
      </c>
      <c r="W1745" s="43" t="str">
        <f t="shared" si="565"/>
        <v/>
      </c>
      <c r="X1745" s="43" t="str">
        <f t="shared" si="577"/>
        <v/>
      </c>
      <c r="Y1745" s="43" t="str">
        <f t="shared" si="570"/>
        <v/>
      </c>
    </row>
    <row r="1746" spans="1:25" ht="13.5" hidden="1" thickBot="1">
      <c r="A1746" s="155" t="s">
        <v>183</v>
      </c>
      <c r="B1746" s="156"/>
      <c r="C1746" s="348" t="s">
        <v>512</v>
      </c>
      <c r="D1746" s="157"/>
      <c r="E1746" s="405">
        <v>500</v>
      </c>
      <c r="F1746" s="406">
        <f>VLOOKUP(C1741,'ENSAIOS DE ORÇAMENTO'!$C$3:$L$79,10,FALSE)</f>
        <v>0</v>
      </c>
      <c r="G1746" s="158">
        <f>IF(E1746&lt;=30,(0.4*E1746+3.35)*F1746,((0.4*30+3.35)+0.33*(E1746-30))*F1746)</f>
        <v>0</v>
      </c>
      <c r="H1746" s="465"/>
      <c r="I1746" s="465" t="str">
        <f t="shared" si="585"/>
        <v/>
      </c>
      <c r="J1746" s="407">
        <f t="shared" si="568"/>
        <v>0</v>
      </c>
      <c r="K1746" s="394" t="s">
        <v>1029</v>
      </c>
      <c r="L1746" s="152">
        <v>0</v>
      </c>
      <c r="M1746" s="213"/>
      <c r="N1746" s="402">
        <f t="shared" si="580"/>
        <v>0</v>
      </c>
      <c r="O1746" s="402">
        <f t="shared" si="581"/>
        <v>0</v>
      </c>
      <c r="P1746" s="403"/>
      <c r="Q1746" s="212"/>
      <c r="R1746" s="213"/>
      <c r="S1746" s="402">
        <f t="shared" si="582"/>
        <v>0</v>
      </c>
      <c r="T1746" s="404">
        <f t="shared" si="575"/>
        <v>0</v>
      </c>
      <c r="U1746" s="403"/>
      <c r="V1746" s="144" t="str">
        <f>IF(T1741&gt;0,"xx",IF(O1741&gt;0,"xy",""))</f>
        <v/>
      </c>
      <c r="W1746" s="43" t="str">
        <f t="shared" si="565"/>
        <v/>
      </c>
      <c r="X1746" s="43" t="str">
        <f t="shared" si="577"/>
        <v/>
      </c>
      <c r="Y1746" s="43" t="str">
        <f t="shared" si="570"/>
        <v/>
      </c>
    </row>
    <row r="1747" spans="1:25" ht="13.5" hidden="1" thickBot="1">
      <c r="A1747" s="155" t="s">
        <v>544</v>
      </c>
      <c r="B1747" s="156" t="s">
        <v>242</v>
      </c>
      <c r="C1747" s="411" t="str">
        <f>'ENSAIOS DE ORÇAMENTO'!C75</f>
        <v>ENSAIO DE ORÇAMENTO 6</v>
      </c>
      <c r="D1747" s="351"/>
      <c r="E1747" s="405"/>
      <c r="F1747" s="406"/>
      <c r="G1747" s="158">
        <f>SUM(G1748:G1752)</f>
        <v>0</v>
      </c>
      <c r="H1747" s="465">
        <f>VLOOKUP(C1747,'ENSAIOS DE ORÇAMENTO'!$C$3:$L$79,8,FALSE)</f>
        <v>0</v>
      </c>
      <c r="I1747" s="465">
        <f>IF(ISBLANK(H1747),"",SUM(G1747:H1747))*0.9</f>
        <v>0</v>
      </c>
      <c r="J1747" s="407">
        <f t="shared" si="568"/>
        <v>0</v>
      </c>
      <c r="K1747" s="408" t="s">
        <v>23</v>
      </c>
      <c r="L1747" s="152">
        <v>0</v>
      </c>
      <c r="M1747" s="152"/>
      <c r="N1747" s="402">
        <f t="shared" si="580"/>
        <v>0</v>
      </c>
      <c r="O1747" s="402">
        <f t="shared" si="581"/>
        <v>0</v>
      </c>
      <c r="P1747" s="403"/>
      <c r="Q1747" s="152">
        <f t="shared" si="571"/>
        <v>0</v>
      </c>
      <c r="R1747" s="152">
        <f t="shared" si="571"/>
        <v>0</v>
      </c>
      <c r="S1747" s="402">
        <f t="shared" si="582"/>
        <v>0</v>
      </c>
      <c r="T1747" s="404">
        <f t="shared" si="575"/>
        <v>0</v>
      </c>
      <c r="U1747" s="403"/>
      <c r="W1747" s="43" t="str">
        <f t="shared" si="565"/>
        <v/>
      </c>
      <c r="X1747" s="43" t="str">
        <f t="shared" si="577"/>
        <v/>
      </c>
      <c r="Y1747" s="43" t="str">
        <f t="shared" si="570"/>
        <v/>
      </c>
    </row>
    <row r="1748" spans="1:25" ht="13.5" hidden="1" thickBot="1">
      <c r="A1748" s="155" t="s">
        <v>183</v>
      </c>
      <c r="B1748" s="156"/>
      <c r="C1748" s="348" t="s">
        <v>251</v>
      </c>
      <c r="D1748" s="157"/>
      <c r="E1748" s="405">
        <v>500</v>
      </c>
      <c r="F1748" s="406">
        <f>VLOOKUP(C1747,'ENSAIOS DE ORÇAMENTO'!$C$3:$L$79,4,FALSE)</f>
        <v>0</v>
      </c>
      <c r="G1748" s="158">
        <f>IF(E1748&lt;=30,(0.4*E1748+3.35)*F1748,((0.4*30+3.35)+0.33*(E1748-30))*F1748)</f>
        <v>0</v>
      </c>
      <c r="H1748" s="465"/>
      <c r="I1748" s="465" t="str">
        <f t="shared" ref="I1748:I1752" si="587">IF(ISBLANK(H1748),"",SUM(G1748:H1748))</f>
        <v/>
      </c>
      <c r="J1748" s="407">
        <f t="shared" si="568"/>
        <v>0</v>
      </c>
      <c r="K1748" s="394" t="s">
        <v>1029</v>
      </c>
      <c r="L1748" s="152">
        <v>0</v>
      </c>
      <c r="M1748" s="213"/>
      <c r="N1748" s="402">
        <f t="shared" si="580"/>
        <v>0</v>
      </c>
      <c r="O1748" s="402">
        <f t="shared" si="581"/>
        <v>0</v>
      </c>
      <c r="P1748" s="403"/>
      <c r="Q1748" s="212"/>
      <c r="R1748" s="213"/>
      <c r="S1748" s="402">
        <f t="shared" si="582"/>
        <v>0</v>
      </c>
      <c r="T1748" s="404">
        <f t="shared" si="575"/>
        <v>0</v>
      </c>
      <c r="U1748" s="403"/>
      <c r="V1748" s="144" t="str">
        <f>IF(T1747&gt;0,"xx",IF(O1747&gt;0,"xy",""))</f>
        <v/>
      </c>
      <c r="W1748" s="43" t="str">
        <f t="shared" si="565"/>
        <v/>
      </c>
      <c r="X1748" s="43" t="str">
        <f t="shared" si="577"/>
        <v/>
      </c>
      <c r="Y1748" s="43" t="str">
        <f t="shared" si="570"/>
        <v/>
      </c>
    </row>
    <row r="1749" spans="1:25" ht="13.5" hidden="1" thickBot="1">
      <c r="A1749" s="155" t="s">
        <v>183</v>
      </c>
      <c r="B1749" s="156"/>
      <c r="C1749" s="348" t="s">
        <v>314</v>
      </c>
      <c r="D1749" s="157"/>
      <c r="E1749" s="405">
        <v>180</v>
      </c>
      <c r="F1749" s="406">
        <f>VLOOKUP(C1747,'ENSAIOS DE ORÇAMENTO'!$C$3:$L$79,5,FALSE)</f>
        <v>0</v>
      </c>
      <c r="G1749" s="158">
        <f>IF(E1749&lt;=30,(0.57*E1749+1.18)*F1749,((0.57*30+1.18)+0.47*(E1749-30))*F1749)</f>
        <v>0</v>
      </c>
      <c r="H1749" s="465"/>
      <c r="I1749" s="465" t="str">
        <f t="shared" si="587"/>
        <v/>
      </c>
      <c r="J1749" s="407">
        <f t="shared" si="568"/>
        <v>0</v>
      </c>
      <c r="K1749" s="394" t="s">
        <v>1029</v>
      </c>
      <c r="L1749" s="152">
        <v>0</v>
      </c>
      <c r="M1749" s="213"/>
      <c r="N1749" s="402">
        <f t="shared" si="580"/>
        <v>0</v>
      </c>
      <c r="O1749" s="402">
        <f t="shared" si="581"/>
        <v>0</v>
      </c>
      <c r="P1749" s="403"/>
      <c r="Q1749" s="212"/>
      <c r="R1749" s="213"/>
      <c r="S1749" s="402">
        <f t="shared" si="582"/>
        <v>0</v>
      </c>
      <c r="T1749" s="404">
        <f t="shared" si="575"/>
        <v>0</v>
      </c>
      <c r="U1749" s="403"/>
      <c r="V1749" s="144" t="str">
        <f>IF(T1747&gt;0,"xx",IF(O1747&gt;0,"xy",""))</f>
        <v/>
      </c>
      <c r="W1749" s="43" t="str">
        <f t="shared" si="565"/>
        <v/>
      </c>
      <c r="X1749" s="43" t="str">
        <f t="shared" si="577"/>
        <v/>
      </c>
      <c r="Y1749" s="43" t="str">
        <f t="shared" si="570"/>
        <v/>
      </c>
    </row>
    <row r="1750" spans="1:25" ht="13.5" hidden="1" thickBot="1">
      <c r="A1750" s="155" t="s">
        <v>183</v>
      </c>
      <c r="B1750" s="156"/>
      <c r="C1750" s="348" t="s">
        <v>323</v>
      </c>
      <c r="D1750" s="157"/>
      <c r="E1750" s="405">
        <v>20</v>
      </c>
      <c r="F1750" s="406">
        <f>VLOOKUP(C1747,'ENSAIOS DE ORÇAMENTO'!$C$3:$L$79,6,FALSE)</f>
        <v>0</v>
      </c>
      <c r="G1750" s="158">
        <f>IF(E1750&lt;=30,(0.57*E1750+1.18)*F1750,((0.57*30+1.18)+0.47*(E1750-30))*F1750)</f>
        <v>0</v>
      </c>
      <c r="H1750" s="465"/>
      <c r="I1750" s="465" t="str">
        <f t="shared" si="587"/>
        <v/>
      </c>
      <c r="J1750" s="407">
        <f t="shared" si="568"/>
        <v>0</v>
      </c>
      <c r="K1750" s="394" t="s">
        <v>1029</v>
      </c>
      <c r="L1750" s="152">
        <v>0</v>
      </c>
      <c r="M1750" s="213"/>
      <c r="N1750" s="402">
        <f t="shared" si="580"/>
        <v>0</v>
      </c>
      <c r="O1750" s="402">
        <f t="shared" si="581"/>
        <v>0</v>
      </c>
      <c r="P1750" s="403"/>
      <c r="Q1750" s="212"/>
      <c r="R1750" s="213"/>
      <c r="S1750" s="402">
        <f t="shared" si="582"/>
        <v>0</v>
      </c>
      <c r="T1750" s="404">
        <f t="shared" si="575"/>
        <v>0</v>
      </c>
      <c r="U1750" s="403"/>
      <c r="V1750" s="144" t="str">
        <f>IF(T1747&gt;0,"xx",IF(O1747&gt;0,"xy",""))</f>
        <v/>
      </c>
      <c r="W1750" s="43" t="str">
        <f t="shared" si="565"/>
        <v/>
      </c>
      <c r="X1750" s="43" t="str">
        <f t="shared" si="577"/>
        <v/>
      </c>
      <c r="Y1750" s="43" t="str">
        <f t="shared" si="570"/>
        <v/>
      </c>
    </row>
    <row r="1751" spans="1:25" ht="13.5" hidden="1" thickBot="1">
      <c r="A1751" s="155" t="s">
        <v>183</v>
      </c>
      <c r="B1751" s="156"/>
      <c r="C1751" s="348" t="s">
        <v>511</v>
      </c>
      <c r="D1751" s="157"/>
      <c r="E1751" s="405">
        <v>30</v>
      </c>
      <c r="F1751" s="406">
        <f>VLOOKUP(C1747,'ENSAIOS DE ORÇAMENTO'!$C$3:$L$79,3,FALSE)</f>
        <v>0</v>
      </c>
      <c r="G1751" s="412">
        <f t="shared" ref="G1751" si="588">IF(E1751&lt;=30,(0.6*E1751+1.25)*F1751,((0.6*30+1.25)+0.5*(E1751-30))*F1751)</f>
        <v>0</v>
      </c>
      <c r="H1751" s="465"/>
      <c r="I1751" s="465" t="str">
        <f t="shared" si="587"/>
        <v/>
      </c>
      <c r="J1751" s="407">
        <f t="shared" si="568"/>
        <v>0</v>
      </c>
      <c r="K1751" s="394" t="s">
        <v>1029</v>
      </c>
      <c r="L1751" s="152">
        <v>0</v>
      </c>
      <c r="M1751" s="213"/>
      <c r="N1751" s="402">
        <f t="shared" si="580"/>
        <v>0</v>
      </c>
      <c r="O1751" s="402">
        <f t="shared" si="581"/>
        <v>0</v>
      </c>
      <c r="P1751" s="403"/>
      <c r="Q1751" s="212"/>
      <c r="R1751" s="213"/>
      <c r="S1751" s="402">
        <f t="shared" si="582"/>
        <v>0</v>
      </c>
      <c r="T1751" s="404">
        <f t="shared" si="575"/>
        <v>0</v>
      </c>
      <c r="U1751" s="403"/>
      <c r="V1751" s="144" t="str">
        <f>IF(T1747&gt;0,"xx",IF(O1747&gt;0,"xy",""))</f>
        <v/>
      </c>
      <c r="W1751" s="43" t="str">
        <f t="shared" si="565"/>
        <v/>
      </c>
      <c r="X1751" s="43" t="str">
        <f t="shared" si="577"/>
        <v/>
      </c>
      <c r="Y1751" s="43" t="str">
        <f t="shared" si="570"/>
        <v/>
      </c>
    </row>
    <row r="1752" spans="1:25" ht="13.5" hidden="1" thickBot="1">
      <c r="A1752" s="155" t="s">
        <v>183</v>
      </c>
      <c r="B1752" s="156"/>
      <c r="C1752" s="348" t="s">
        <v>512</v>
      </c>
      <c r="D1752" s="157"/>
      <c r="E1752" s="405">
        <v>500</v>
      </c>
      <c r="F1752" s="406">
        <f>VLOOKUP(C1747,'ENSAIOS DE ORÇAMENTO'!$C$3:$L$79,10,FALSE)</f>
        <v>0</v>
      </c>
      <c r="G1752" s="158">
        <f>IF(E1752&lt;=30,(0.4*E1752+3.35)*F1752,((0.4*30+3.35)+0.33*(E1752-30))*F1752)</f>
        <v>0</v>
      </c>
      <c r="H1752" s="465"/>
      <c r="I1752" s="465" t="str">
        <f t="shared" si="587"/>
        <v/>
      </c>
      <c r="J1752" s="407">
        <f t="shared" si="568"/>
        <v>0</v>
      </c>
      <c r="K1752" s="394" t="s">
        <v>1029</v>
      </c>
      <c r="L1752" s="152">
        <v>0</v>
      </c>
      <c r="M1752" s="213"/>
      <c r="N1752" s="402">
        <f t="shared" si="580"/>
        <v>0</v>
      </c>
      <c r="O1752" s="402">
        <f t="shared" si="581"/>
        <v>0</v>
      </c>
      <c r="P1752" s="403"/>
      <c r="Q1752" s="212"/>
      <c r="R1752" s="213"/>
      <c r="S1752" s="402">
        <f t="shared" si="582"/>
        <v>0</v>
      </c>
      <c r="T1752" s="404">
        <f t="shared" si="575"/>
        <v>0</v>
      </c>
      <c r="U1752" s="403"/>
      <c r="V1752" s="144" t="str">
        <f>IF(T1747&gt;0,"xx",IF(O1747&gt;0,"xy",""))</f>
        <v/>
      </c>
      <c r="W1752" s="43" t="str">
        <f t="shared" si="565"/>
        <v/>
      </c>
      <c r="X1752" s="43" t="str">
        <f t="shared" si="577"/>
        <v/>
      </c>
      <c r="Y1752" s="43" t="str">
        <f t="shared" si="570"/>
        <v/>
      </c>
    </row>
    <row r="1753" spans="1:25" ht="13.5" hidden="1" thickBot="1">
      <c r="A1753" s="155" t="s">
        <v>545</v>
      </c>
      <c r="B1753" s="156" t="s">
        <v>242</v>
      </c>
      <c r="C1753" s="411" t="str">
        <f>'ENSAIOS DE ORÇAMENTO'!C76</f>
        <v>ENSAIO DE ORÇAMENTO 7</v>
      </c>
      <c r="D1753" s="351"/>
      <c r="E1753" s="405"/>
      <c r="F1753" s="406"/>
      <c r="G1753" s="158">
        <f>SUM(G1754:G1758)</f>
        <v>0</v>
      </c>
      <c r="H1753" s="465">
        <f>VLOOKUP(C1753,'ENSAIOS DE ORÇAMENTO'!$C$3:$L$79,8,FALSE)</f>
        <v>0</v>
      </c>
      <c r="I1753" s="465">
        <f>IF(ISBLANK(H1753),"",SUM(G1753:H1753))*0.9</f>
        <v>0</v>
      </c>
      <c r="J1753" s="407">
        <f t="shared" si="568"/>
        <v>0</v>
      </c>
      <c r="K1753" s="408" t="s">
        <v>23</v>
      </c>
      <c r="L1753" s="152">
        <v>0</v>
      </c>
      <c r="M1753" s="152"/>
      <c r="N1753" s="402">
        <f t="shared" si="580"/>
        <v>0</v>
      </c>
      <c r="O1753" s="402">
        <f t="shared" si="581"/>
        <v>0</v>
      </c>
      <c r="P1753" s="403"/>
      <c r="Q1753" s="152">
        <f t="shared" si="571"/>
        <v>0</v>
      </c>
      <c r="R1753" s="152">
        <f t="shared" si="571"/>
        <v>0</v>
      </c>
      <c r="S1753" s="402">
        <f t="shared" si="582"/>
        <v>0</v>
      </c>
      <c r="T1753" s="404">
        <f t="shared" si="575"/>
        <v>0</v>
      </c>
      <c r="U1753" s="403"/>
      <c r="W1753" s="43" t="str">
        <f t="shared" si="565"/>
        <v/>
      </c>
      <c r="X1753" s="43" t="str">
        <f t="shared" si="577"/>
        <v/>
      </c>
      <c r="Y1753" s="43" t="str">
        <f t="shared" si="570"/>
        <v/>
      </c>
    </row>
    <row r="1754" spans="1:25" ht="13.5" hidden="1" thickBot="1">
      <c r="A1754" s="155" t="s">
        <v>183</v>
      </c>
      <c r="B1754" s="156"/>
      <c r="C1754" s="348" t="s">
        <v>251</v>
      </c>
      <c r="D1754" s="157"/>
      <c r="E1754" s="405">
        <v>500</v>
      </c>
      <c r="F1754" s="406">
        <f>VLOOKUP(C1753,'ENSAIOS DE ORÇAMENTO'!$C$3:$L$79,4,FALSE)</f>
        <v>0</v>
      </c>
      <c r="G1754" s="158">
        <f>IF(E1754&lt;=30,(0.4*E1754+3.35)*F1754,((0.4*30+3.35)+0.33*(E1754-30))*F1754)</f>
        <v>0</v>
      </c>
      <c r="H1754" s="465"/>
      <c r="I1754" s="465" t="str">
        <f t="shared" ref="I1754:I1758" si="589">IF(ISBLANK(H1754),"",SUM(G1754:H1754))</f>
        <v/>
      </c>
      <c r="J1754" s="407">
        <f t="shared" si="568"/>
        <v>0</v>
      </c>
      <c r="K1754" s="394" t="s">
        <v>1029</v>
      </c>
      <c r="L1754" s="152">
        <v>0</v>
      </c>
      <c r="M1754" s="213"/>
      <c r="N1754" s="402">
        <f t="shared" si="580"/>
        <v>0</v>
      </c>
      <c r="O1754" s="402">
        <f t="shared" si="581"/>
        <v>0</v>
      </c>
      <c r="P1754" s="403"/>
      <c r="Q1754" s="212"/>
      <c r="R1754" s="213"/>
      <c r="S1754" s="402">
        <f t="shared" si="582"/>
        <v>0</v>
      </c>
      <c r="T1754" s="404">
        <f t="shared" si="575"/>
        <v>0</v>
      </c>
      <c r="U1754" s="403"/>
      <c r="V1754" s="144" t="str">
        <f>IF(T1753&gt;0,"xx",IF(O1753&gt;0,"xy",""))</f>
        <v/>
      </c>
      <c r="W1754" s="43" t="str">
        <f t="shared" si="565"/>
        <v/>
      </c>
      <c r="X1754" s="43" t="str">
        <f t="shared" si="577"/>
        <v/>
      </c>
      <c r="Y1754" s="43" t="str">
        <f t="shared" si="570"/>
        <v/>
      </c>
    </row>
    <row r="1755" spans="1:25" ht="13.5" hidden="1" thickBot="1">
      <c r="A1755" s="155" t="s">
        <v>183</v>
      </c>
      <c r="B1755" s="156"/>
      <c r="C1755" s="348" t="s">
        <v>314</v>
      </c>
      <c r="D1755" s="157"/>
      <c r="E1755" s="405">
        <v>180</v>
      </c>
      <c r="F1755" s="406">
        <f>VLOOKUP(C1753,'ENSAIOS DE ORÇAMENTO'!$C$3:$L$79,5,FALSE)</f>
        <v>0</v>
      </c>
      <c r="G1755" s="158">
        <f>IF(E1755&lt;=30,(0.57*E1755+1.18)*F1755,((0.57*30+1.18)+0.47*(E1755-30))*F1755)</f>
        <v>0</v>
      </c>
      <c r="H1755" s="465"/>
      <c r="I1755" s="465" t="str">
        <f t="shared" si="589"/>
        <v/>
      </c>
      <c r="J1755" s="407">
        <f t="shared" si="568"/>
        <v>0</v>
      </c>
      <c r="K1755" s="394" t="s">
        <v>1029</v>
      </c>
      <c r="L1755" s="152">
        <v>0</v>
      </c>
      <c r="M1755" s="213"/>
      <c r="N1755" s="402">
        <f t="shared" si="580"/>
        <v>0</v>
      </c>
      <c r="O1755" s="402">
        <f t="shared" si="581"/>
        <v>0</v>
      </c>
      <c r="P1755" s="403"/>
      <c r="Q1755" s="212"/>
      <c r="R1755" s="213"/>
      <c r="S1755" s="402">
        <f t="shared" si="582"/>
        <v>0</v>
      </c>
      <c r="T1755" s="404">
        <f t="shared" si="575"/>
        <v>0</v>
      </c>
      <c r="U1755" s="403"/>
      <c r="V1755" s="144" t="str">
        <f>IF(T1753&gt;0,"xx",IF(O1753&gt;0,"xy",""))</f>
        <v/>
      </c>
      <c r="W1755" s="43" t="str">
        <f t="shared" si="565"/>
        <v/>
      </c>
      <c r="X1755" s="43" t="str">
        <f t="shared" si="577"/>
        <v/>
      </c>
      <c r="Y1755" s="43" t="str">
        <f t="shared" si="570"/>
        <v/>
      </c>
    </row>
    <row r="1756" spans="1:25" ht="13.5" hidden="1" thickBot="1">
      <c r="A1756" s="155" t="s">
        <v>183</v>
      </c>
      <c r="B1756" s="156"/>
      <c r="C1756" s="348" t="s">
        <v>323</v>
      </c>
      <c r="D1756" s="157"/>
      <c r="E1756" s="405">
        <v>20</v>
      </c>
      <c r="F1756" s="406">
        <f>VLOOKUP(C1753,'ENSAIOS DE ORÇAMENTO'!$C$3:$L$79,6,FALSE)</f>
        <v>0</v>
      </c>
      <c r="G1756" s="158">
        <f>IF(E1756&lt;=30,(0.57*E1756+1.18)*F1756,((0.57*30+1.18)+0.47*(E1756-30))*F1756)</f>
        <v>0</v>
      </c>
      <c r="H1756" s="465"/>
      <c r="I1756" s="465" t="str">
        <f t="shared" si="589"/>
        <v/>
      </c>
      <c r="J1756" s="407">
        <f t="shared" si="568"/>
        <v>0</v>
      </c>
      <c r="K1756" s="394" t="s">
        <v>1029</v>
      </c>
      <c r="L1756" s="152">
        <v>0</v>
      </c>
      <c r="M1756" s="213"/>
      <c r="N1756" s="402">
        <f t="shared" si="580"/>
        <v>0</v>
      </c>
      <c r="O1756" s="402">
        <f t="shared" si="581"/>
        <v>0</v>
      </c>
      <c r="P1756" s="403"/>
      <c r="Q1756" s="212"/>
      <c r="R1756" s="213"/>
      <c r="S1756" s="402">
        <f t="shared" si="582"/>
        <v>0</v>
      </c>
      <c r="T1756" s="404">
        <f t="shared" si="575"/>
        <v>0</v>
      </c>
      <c r="U1756" s="403"/>
      <c r="V1756" s="144" t="str">
        <f>IF(T1753&gt;0,"xx",IF(O1753&gt;0,"xy",""))</f>
        <v/>
      </c>
      <c r="W1756" s="43" t="str">
        <f t="shared" si="565"/>
        <v/>
      </c>
      <c r="X1756" s="43" t="str">
        <f t="shared" si="577"/>
        <v/>
      </c>
      <c r="Y1756" s="43" t="str">
        <f t="shared" si="570"/>
        <v/>
      </c>
    </row>
    <row r="1757" spans="1:25" ht="13.5" hidden="1" thickBot="1">
      <c r="A1757" s="155" t="s">
        <v>183</v>
      </c>
      <c r="B1757" s="156"/>
      <c r="C1757" s="348" t="s">
        <v>511</v>
      </c>
      <c r="D1757" s="157"/>
      <c r="E1757" s="405">
        <v>30</v>
      </c>
      <c r="F1757" s="406">
        <f>VLOOKUP(C1753,'ENSAIOS DE ORÇAMENTO'!$C$3:$L$79,3,FALSE)</f>
        <v>0</v>
      </c>
      <c r="G1757" s="412">
        <f t="shared" ref="G1757" si="590">IF(E1757&lt;=30,(0.6*E1757+1.25)*F1757,((0.6*30+1.25)+0.5*(E1757-30))*F1757)</f>
        <v>0</v>
      </c>
      <c r="H1757" s="465"/>
      <c r="I1757" s="465" t="str">
        <f t="shared" si="589"/>
        <v/>
      </c>
      <c r="J1757" s="407">
        <f t="shared" si="568"/>
        <v>0</v>
      </c>
      <c r="K1757" s="394" t="s">
        <v>1029</v>
      </c>
      <c r="L1757" s="152">
        <v>0</v>
      </c>
      <c r="M1757" s="213"/>
      <c r="N1757" s="402">
        <f t="shared" si="580"/>
        <v>0</v>
      </c>
      <c r="O1757" s="402">
        <f t="shared" si="581"/>
        <v>0</v>
      </c>
      <c r="P1757" s="403"/>
      <c r="Q1757" s="212"/>
      <c r="R1757" s="213"/>
      <c r="S1757" s="402">
        <f t="shared" si="582"/>
        <v>0</v>
      </c>
      <c r="T1757" s="404">
        <f t="shared" si="575"/>
        <v>0</v>
      </c>
      <c r="U1757" s="403"/>
      <c r="V1757" s="144" t="str">
        <f>IF(T1753&gt;0,"xx",IF(O1753&gt;0,"xy",""))</f>
        <v/>
      </c>
      <c r="W1757" s="43" t="str">
        <f t="shared" si="565"/>
        <v/>
      </c>
      <c r="X1757" s="43" t="str">
        <f t="shared" si="577"/>
        <v/>
      </c>
      <c r="Y1757" s="43" t="str">
        <f t="shared" si="570"/>
        <v/>
      </c>
    </row>
    <row r="1758" spans="1:25" ht="13.5" hidden="1" thickBot="1">
      <c r="A1758" s="155" t="s">
        <v>183</v>
      </c>
      <c r="B1758" s="156"/>
      <c r="C1758" s="348" t="s">
        <v>512</v>
      </c>
      <c r="D1758" s="157"/>
      <c r="E1758" s="405">
        <v>500</v>
      </c>
      <c r="F1758" s="406">
        <f>VLOOKUP(C1753,'ENSAIOS DE ORÇAMENTO'!$C$3:$L$79,10,FALSE)</f>
        <v>0</v>
      </c>
      <c r="G1758" s="158">
        <f>IF(E1758&lt;=30,(0.4*E1758+3.35)*F1758,((0.4*30+3.35)+0.33*(E1758-30))*F1758)</f>
        <v>0</v>
      </c>
      <c r="H1758" s="465"/>
      <c r="I1758" s="465" t="str">
        <f t="shared" si="589"/>
        <v/>
      </c>
      <c r="J1758" s="407">
        <f t="shared" si="568"/>
        <v>0</v>
      </c>
      <c r="K1758" s="394" t="s">
        <v>1029</v>
      </c>
      <c r="L1758" s="152">
        <v>0</v>
      </c>
      <c r="M1758" s="213"/>
      <c r="N1758" s="402">
        <f t="shared" si="580"/>
        <v>0</v>
      </c>
      <c r="O1758" s="402">
        <f t="shared" si="581"/>
        <v>0</v>
      </c>
      <c r="P1758" s="403"/>
      <c r="Q1758" s="212"/>
      <c r="R1758" s="213"/>
      <c r="S1758" s="402">
        <f t="shared" si="582"/>
        <v>0</v>
      </c>
      <c r="T1758" s="404">
        <f t="shared" si="575"/>
        <v>0</v>
      </c>
      <c r="U1758" s="403"/>
      <c r="V1758" s="144" t="str">
        <f>IF(T1753&gt;0,"xx",IF(O1753&gt;0,"xy",""))</f>
        <v/>
      </c>
      <c r="W1758" s="43" t="str">
        <f t="shared" si="565"/>
        <v/>
      </c>
      <c r="X1758" s="43" t="str">
        <f t="shared" si="577"/>
        <v/>
      </c>
      <c r="Y1758" s="43" t="str">
        <f t="shared" si="570"/>
        <v/>
      </c>
    </row>
    <row r="1759" spans="1:25" ht="13.5" hidden="1" thickBot="1">
      <c r="A1759" s="155" t="s">
        <v>546</v>
      </c>
      <c r="B1759" s="156" t="s">
        <v>242</v>
      </c>
      <c r="C1759" s="411" t="str">
        <f>'ENSAIOS DE ORÇAMENTO'!C77</f>
        <v>ENSAIO DE ORÇAMENTO 8</v>
      </c>
      <c r="D1759" s="351"/>
      <c r="E1759" s="405"/>
      <c r="F1759" s="406"/>
      <c r="G1759" s="158">
        <f>SUM(G1760:G1764)</f>
        <v>0</v>
      </c>
      <c r="H1759" s="465">
        <f>VLOOKUP(C1759,'ENSAIOS DE ORÇAMENTO'!$C$3:$L$79,8,FALSE)</f>
        <v>0</v>
      </c>
      <c r="I1759" s="465">
        <f>IF(ISBLANK(H1759),"",SUM(G1759:H1759))*0.9</f>
        <v>0</v>
      </c>
      <c r="J1759" s="407">
        <f t="shared" si="568"/>
        <v>0</v>
      </c>
      <c r="K1759" s="408" t="s">
        <v>23</v>
      </c>
      <c r="L1759" s="152">
        <v>0</v>
      </c>
      <c r="M1759" s="152"/>
      <c r="N1759" s="402">
        <f t="shared" si="580"/>
        <v>0</v>
      </c>
      <c r="O1759" s="402">
        <f t="shared" si="581"/>
        <v>0</v>
      </c>
      <c r="P1759" s="403"/>
      <c r="Q1759" s="152">
        <f t="shared" si="571"/>
        <v>0</v>
      </c>
      <c r="R1759" s="152">
        <f t="shared" si="571"/>
        <v>0</v>
      </c>
      <c r="S1759" s="402">
        <f t="shared" si="582"/>
        <v>0</v>
      </c>
      <c r="T1759" s="404">
        <f t="shared" si="575"/>
        <v>0</v>
      </c>
      <c r="U1759" s="403"/>
      <c r="W1759" s="43" t="str">
        <f t="shared" si="565"/>
        <v/>
      </c>
      <c r="X1759" s="43" t="str">
        <f t="shared" si="577"/>
        <v/>
      </c>
      <c r="Y1759" s="43" t="str">
        <f t="shared" si="570"/>
        <v/>
      </c>
    </row>
    <row r="1760" spans="1:25" ht="13.5" hidden="1" thickBot="1">
      <c r="A1760" s="155" t="s">
        <v>183</v>
      </c>
      <c r="B1760" s="156"/>
      <c r="C1760" s="348" t="s">
        <v>251</v>
      </c>
      <c r="D1760" s="157"/>
      <c r="E1760" s="405">
        <v>500</v>
      </c>
      <c r="F1760" s="406">
        <f>VLOOKUP(C1759,'ENSAIOS DE ORÇAMENTO'!$C$3:$L$79,4,FALSE)</f>
        <v>0</v>
      </c>
      <c r="G1760" s="158">
        <f>IF(E1760&lt;=30,(0.4*E1760+3.35)*F1760,((0.4*30+3.35)+0.33*(E1760-30))*F1760)</f>
        <v>0</v>
      </c>
      <c r="H1760" s="465"/>
      <c r="I1760" s="465" t="str">
        <f t="shared" ref="I1760:I1764" si="591">IF(ISBLANK(H1760),"",SUM(G1760:H1760))</f>
        <v/>
      </c>
      <c r="J1760" s="407">
        <f t="shared" si="568"/>
        <v>0</v>
      </c>
      <c r="K1760" s="394" t="s">
        <v>1029</v>
      </c>
      <c r="L1760" s="152">
        <v>0</v>
      </c>
      <c r="M1760" s="213"/>
      <c r="N1760" s="402">
        <f t="shared" si="580"/>
        <v>0</v>
      </c>
      <c r="O1760" s="402">
        <f t="shared" si="581"/>
        <v>0</v>
      </c>
      <c r="P1760" s="403"/>
      <c r="Q1760" s="212"/>
      <c r="R1760" s="213"/>
      <c r="S1760" s="402">
        <f t="shared" si="582"/>
        <v>0</v>
      </c>
      <c r="T1760" s="404">
        <f t="shared" si="575"/>
        <v>0</v>
      </c>
      <c r="U1760" s="403"/>
      <c r="V1760" s="144" t="str">
        <f>IF(T1759&gt;0,"xx",IF(O1759&gt;0,"xy",""))</f>
        <v/>
      </c>
      <c r="W1760" s="43" t="str">
        <f t="shared" si="565"/>
        <v/>
      </c>
      <c r="X1760" s="43" t="str">
        <f t="shared" si="577"/>
        <v/>
      </c>
      <c r="Y1760" s="43" t="str">
        <f t="shared" si="570"/>
        <v/>
      </c>
    </row>
    <row r="1761" spans="1:25" ht="13.5" hidden="1" thickBot="1">
      <c r="A1761" s="155" t="s">
        <v>183</v>
      </c>
      <c r="B1761" s="156"/>
      <c r="C1761" s="348" t="s">
        <v>314</v>
      </c>
      <c r="D1761" s="157"/>
      <c r="E1761" s="405">
        <v>180</v>
      </c>
      <c r="F1761" s="406">
        <f>VLOOKUP(C1759,'ENSAIOS DE ORÇAMENTO'!$C$3:$L$79,5,FALSE)</f>
        <v>0</v>
      </c>
      <c r="G1761" s="158">
        <f>IF(E1761&lt;=30,(0.57*E1761+1.18)*F1761,((0.57*30+1.18)+0.47*(E1761-30))*F1761)</f>
        <v>0</v>
      </c>
      <c r="H1761" s="465"/>
      <c r="I1761" s="465" t="str">
        <f t="shared" si="591"/>
        <v/>
      </c>
      <c r="J1761" s="407">
        <f t="shared" si="568"/>
        <v>0</v>
      </c>
      <c r="K1761" s="394" t="s">
        <v>1029</v>
      </c>
      <c r="L1761" s="152">
        <v>0</v>
      </c>
      <c r="M1761" s="213"/>
      <c r="N1761" s="402">
        <f t="shared" si="580"/>
        <v>0</v>
      </c>
      <c r="O1761" s="402">
        <f t="shared" si="581"/>
        <v>0</v>
      </c>
      <c r="P1761" s="403"/>
      <c r="Q1761" s="212"/>
      <c r="R1761" s="213"/>
      <c r="S1761" s="402">
        <f t="shared" si="582"/>
        <v>0</v>
      </c>
      <c r="T1761" s="404">
        <f t="shared" si="575"/>
        <v>0</v>
      </c>
      <c r="U1761" s="403"/>
      <c r="V1761" s="144" t="str">
        <f>IF(T1759&gt;0,"xx",IF(O1759&gt;0,"xy",""))</f>
        <v/>
      </c>
      <c r="W1761" s="43" t="str">
        <f t="shared" si="565"/>
        <v/>
      </c>
      <c r="X1761" s="43" t="str">
        <f t="shared" si="577"/>
        <v/>
      </c>
      <c r="Y1761" s="43" t="str">
        <f t="shared" si="570"/>
        <v/>
      </c>
    </row>
    <row r="1762" spans="1:25" ht="13.5" hidden="1" thickBot="1">
      <c r="A1762" s="155" t="s">
        <v>183</v>
      </c>
      <c r="B1762" s="156"/>
      <c r="C1762" s="348" t="s">
        <v>323</v>
      </c>
      <c r="D1762" s="157"/>
      <c r="E1762" s="405">
        <v>20</v>
      </c>
      <c r="F1762" s="406">
        <f>VLOOKUP(C1759,'ENSAIOS DE ORÇAMENTO'!$C$3:$L$79,6,FALSE)</f>
        <v>0</v>
      </c>
      <c r="G1762" s="158">
        <f>IF(E1762&lt;=30,(0.57*E1762+1.18)*F1762,((0.57*30+1.18)+0.47*(E1762-30))*F1762)</f>
        <v>0</v>
      </c>
      <c r="H1762" s="465"/>
      <c r="I1762" s="465" t="str">
        <f t="shared" si="591"/>
        <v/>
      </c>
      <c r="J1762" s="407">
        <f t="shared" si="568"/>
        <v>0</v>
      </c>
      <c r="K1762" s="394" t="s">
        <v>1029</v>
      </c>
      <c r="L1762" s="152">
        <v>0</v>
      </c>
      <c r="M1762" s="213"/>
      <c r="N1762" s="402">
        <f t="shared" si="580"/>
        <v>0</v>
      </c>
      <c r="O1762" s="402">
        <f t="shared" si="581"/>
        <v>0</v>
      </c>
      <c r="P1762" s="403"/>
      <c r="Q1762" s="212"/>
      <c r="R1762" s="213"/>
      <c r="S1762" s="402">
        <f t="shared" si="582"/>
        <v>0</v>
      </c>
      <c r="T1762" s="404">
        <f t="shared" si="575"/>
        <v>0</v>
      </c>
      <c r="U1762" s="403"/>
      <c r="V1762" s="144" t="str">
        <f>IF(T1759&gt;0,"xx",IF(O1759&gt;0,"xy",""))</f>
        <v/>
      </c>
      <c r="W1762" s="43" t="str">
        <f t="shared" si="565"/>
        <v/>
      </c>
      <c r="X1762" s="43" t="str">
        <f t="shared" si="577"/>
        <v/>
      </c>
      <c r="Y1762" s="43" t="str">
        <f t="shared" si="570"/>
        <v/>
      </c>
    </row>
    <row r="1763" spans="1:25" ht="13.5" hidden="1" thickBot="1">
      <c r="A1763" s="155" t="s">
        <v>183</v>
      </c>
      <c r="B1763" s="156"/>
      <c r="C1763" s="348" t="s">
        <v>511</v>
      </c>
      <c r="D1763" s="157"/>
      <c r="E1763" s="405">
        <v>30</v>
      </c>
      <c r="F1763" s="406">
        <f>VLOOKUP(C1759,'ENSAIOS DE ORÇAMENTO'!$C$3:$L$79,3,FALSE)</f>
        <v>0</v>
      </c>
      <c r="G1763" s="412">
        <f t="shared" ref="G1763" si="592">IF(E1763&lt;=30,(0.6*E1763+1.25)*F1763,((0.6*30+1.25)+0.5*(E1763-30))*F1763)</f>
        <v>0</v>
      </c>
      <c r="H1763" s="465"/>
      <c r="I1763" s="465" t="str">
        <f t="shared" si="591"/>
        <v/>
      </c>
      <c r="J1763" s="407">
        <f t="shared" si="568"/>
        <v>0</v>
      </c>
      <c r="K1763" s="394" t="s">
        <v>1029</v>
      </c>
      <c r="L1763" s="152">
        <v>0</v>
      </c>
      <c r="M1763" s="213"/>
      <c r="N1763" s="402">
        <f t="shared" si="580"/>
        <v>0</v>
      </c>
      <c r="O1763" s="402">
        <f t="shared" si="581"/>
        <v>0</v>
      </c>
      <c r="P1763" s="403"/>
      <c r="Q1763" s="212"/>
      <c r="R1763" s="213"/>
      <c r="S1763" s="402">
        <f t="shared" si="582"/>
        <v>0</v>
      </c>
      <c r="T1763" s="404">
        <f t="shared" si="575"/>
        <v>0</v>
      </c>
      <c r="U1763" s="403"/>
      <c r="V1763" s="144" t="str">
        <f>IF(T1759&gt;0,"xx",IF(O1759&gt;0,"xy",""))</f>
        <v/>
      </c>
      <c r="W1763" s="43" t="str">
        <f t="shared" si="565"/>
        <v/>
      </c>
      <c r="X1763" s="43" t="str">
        <f t="shared" si="577"/>
        <v/>
      </c>
      <c r="Y1763" s="43" t="str">
        <f t="shared" si="570"/>
        <v/>
      </c>
    </row>
    <row r="1764" spans="1:25" ht="13.5" hidden="1" thickBot="1">
      <c r="A1764" s="155" t="s">
        <v>183</v>
      </c>
      <c r="B1764" s="156"/>
      <c r="C1764" s="348" t="s">
        <v>512</v>
      </c>
      <c r="D1764" s="157"/>
      <c r="E1764" s="405">
        <v>500</v>
      </c>
      <c r="F1764" s="406">
        <f>VLOOKUP(C1759,'ENSAIOS DE ORÇAMENTO'!$C$3:$L$79,10,FALSE)</f>
        <v>0</v>
      </c>
      <c r="G1764" s="158">
        <f>IF(E1764&lt;=30,(0.4*E1764+3.35)*F1764,((0.4*30+3.35)+0.33*(E1764-30))*F1764)</f>
        <v>0</v>
      </c>
      <c r="H1764" s="465"/>
      <c r="I1764" s="465" t="str">
        <f t="shared" si="591"/>
        <v/>
      </c>
      <c r="J1764" s="407">
        <f t="shared" si="568"/>
        <v>0</v>
      </c>
      <c r="K1764" s="394" t="s">
        <v>1029</v>
      </c>
      <c r="L1764" s="152">
        <v>0</v>
      </c>
      <c r="M1764" s="213"/>
      <c r="N1764" s="402">
        <f t="shared" si="580"/>
        <v>0</v>
      </c>
      <c r="O1764" s="402">
        <f t="shared" si="581"/>
        <v>0</v>
      </c>
      <c r="P1764" s="403"/>
      <c r="Q1764" s="212"/>
      <c r="R1764" s="213"/>
      <c r="S1764" s="402">
        <f t="shared" si="582"/>
        <v>0</v>
      </c>
      <c r="T1764" s="404">
        <f t="shared" si="575"/>
        <v>0</v>
      </c>
      <c r="U1764" s="403"/>
      <c r="V1764" s="144" t="str">
        <f>IF(T1759&gt;0,"xx",IF(O1759&gt;0,"xy",""))</f>
        <v/>
      </c>
      <c r="W1764" s="43" t="str">
        <f t="shared" si="565"/>
        <v/>
      </c>
      <c r="X1764" s="43" t="str">
        <f t="shared" si="577"/>
        <v/>
      </c>
      <c r="Y1764" s="43" t="str">
        <f t="shared" si="570"/>
        <v/>
      </c>
    </row>
    <row r="1765" spans="1:25" ht="13.5" hidden="1" thickBot="1">
      <c r="A1765" s="155" t="s">
        <v>547</v>
      </c>
      <c r="B1765" s="156" t="s">
        <v>242</v>
      </c>
      <c r="C1765" s="411" t="str">
        <f>'ENSAIOS DE ORÇAMENTO'!C78</f>
        <v>ENSAIO DE ORÇAMENTO 9</v>
      </c>
      <c r="D1765" s="351"/>
      <c r="E1765" s="405"/>
      <c r="F1765" s="406"/>
      <c r="G1765" s="158">
        <f>SUM(G1766:G1770)</f>
        <v>0</v>
      </c>
      <c r="H1765" s="465">
        <f>VLOOKUP(C1765,'ENSAIOS DE ORÇAMENTO'!$C$3:$L$79,8,FALSE)</f>
        <v>0</v>
      </c>
      <c r="I1765" s="465">
        <f>IF(ISBLANK(H1765),"",SUM(G1765:H1765))*0.9</f>
        <v>0</v>
      </c>
      <c r="J1765" s="407">
        <f t="shared" si="568"/>
        <v>0</v>
      </c>
      <c r="K1765" s="408" t="s">
        <v>23</v>
      </c>
      <c r="L1765" s="152">
        <v>0</v>
      </c>
      <c r="M1765" s="152"/>
      <c r="N1765" s="402">
        <f t="shared" si="580"/>
        <v>0</v>
      </c>
      <c r="O1765" s="402">
        <f t="shared" si="581"/>
        <v>0</v>
      </c>
      <c r="P1765" s="403"/>
      <c r="Q1765" s="152">
        <f t="shared" ref="Q1765:R1771" si="593">L1765</f>
        <v>0</v>
      </c>
      <c r="R1765" s="152">
        <f t="shared" si="593"/>
        <v>0</v>
      </c>
      <c r="S1765" s="402">
        <f t="shared" si="582"/>
        <v>0</v>
      </c>
      <c r="T1765" s="404">
        <f t="shared" si="575"/>
        <v>0</v>
      </c>
      <c r="U1765" s="403"/>
      <c r="W1765" s="43" t="str">
        <f t="shared" si="565"/>
        <v/>
      </c>
      <c r="X1765" s="43" t="str">
        <f t="shared" si="577"/>
        <v/>
      </c>
      <c r="Y1765" s="43" t="str">
        <f t="shared" si="570"/>
        <v/>
      </c>
    </row>
    <row r="1766" spans="1:25" ht="13.5" hidden="1" thickBot="1">
      <c r="A1766" s="155" t="s">
        <v>183</v>
      </c>
      <c r="B1766" s="156"/>
      <c r="C1766" s="348" t="s">
        <v>251</v>
      </c>
      <c r="D1766" s="157"/>
      <c r="E1766" s="405">
        <v>500</v>
      </c>
      <c r="F1766" s="406">
        <f>VLOOKUP(C1765,'ENSAIOS DE ORÇAMENTO'!$C$3:$L$79,4,FALSE)</f>
        <v>0</v>
      </c>
      <c r="G1766" s="158">
        <f>IF(E1766&lt;=30,(0.4*E1766+3.35)*F1766,((0.4*30+3.35)+0.33*(E1766-30))*F1766)</f>
        <v>0</v>
      </c>
      <c r="H1766" s="465"/>
      <c r="I1766" s="465" t="str">
        <f t="shared" ref="I1766:I1770" si="594">IF(ISBLANK(H1766),"",SUM(G1766:H1766))</f>
        <v/>
      </c>
      <c r="J1766" s="407">
        <f t="shared" si="568"/>
        <v>0</v>
      </c>
      <c r="K1766" s="394" t="s">
        <v>1029</v>
      </c>
      <c r="L1766" s="152">
        <v>0</v>
      </c>
      <c r="M1766" s="213"/>
      <c r="N1766" s="402">
        <f t="shared" si="580"/>
        <v>0</v>
      </c>
      <c r="O1766" s="402">
        <f t="shared" si="581"/>
        <v>0</v>
      </c>
      <c r="P1766" s="403"/>
      <c r="Q1766" s="212"/>
      <c r="R1766" s="213"/>
      <c r="S1766" s="402">
        <f t="shared" si="582"/>
        <v>0</v>
      </c>
      <c r="T1766" s="404">
        <f t="shared" si="575"/>
        <v>0</v>
      </c>
      <c r="U1766" s="403"/>
      <c r="V1766" s="144" t="str">
        <f>IF(T1765&gt;0,"xx",IF(O1765&gt;0,"xy",""))</f>
        <v/>
      </c>
      <c r="W1766" s="43" t="str">
        <f t="shared" si="565"/>
        <v/>
      </c>
      <c r="X1766" s="43" t="str">
        <f t="shared" si="577"/>
        <v/>
      </c>
      <c r="Y1766" s="43" t="str">
        <f t="shared" si="570"/>
        <v/>
      </c>
    </row>
    <row r="1767" spans="1:25" ht="13.5" hidden="1" thickBot="1">
      <c r="A1767" s="155" t="s">
        <v>183</v>
      </c>
      <c r="B1767" s="156"/>
      <c r="C1767" s="348" t="s">
        <v>314</v>
      </c>
      <c r="D1767" s="157"/>
      <c r="E1767" s="405">
        <v>180</v>
      </c>
      <c r="F1767" s="406">
        <f>VLOOKUP(C1765,'ENSAIOS DE ORÇAMENTO'!$C$3:$L$79,5,FALSE)</f>
        <v>0</v>
      </c>
      <c r="G1767" s="158">
        <f>IF(E1767&lt;=30,(0.57*E1767+1.18)*F1767,((0.57*30+1.18)+0.47*(E1767-30))*F1767)</f>
        <v>0</v>
      </c>
      <c r="H1767" s="465"/>
      <c r="I1767" s="465" t="str">
        <f t="shared" si="594"/>
        <v/>
      </c>
      <c r="J1767" s="407">
        <f t="shared" si="568"/>
        <v>0</v>
      </c>
      <c r="K1767" s="394" t="s">
        <v>1029</v>
      </c>
      <c r="L1767" s="152">
        <v>0</v>
      </c>
      <c r="M1767" s="213"/>
      <c r="N1767" s="402">
        <f t="shared" si="580"/>
        <v>0</v>
      </c>
      <c r="O1767" s="402">
        <f t="shared" si="581"/>
        <v>0</v>
      </c>
      <c r="P1767" s="403"/>
      <c r="Q1767" s="212"/>
      <c r="R1767" s="213"/>
      <c r="S1767" s="402">
        <f t="shared" si="582"/>
        <v>0</v>
      </c>
      <c r="T1767" s="404">
        <f t="shared" si="575"/>
        <v>0</v>
      </c>
      <c r="U1767" s="403"/>
      <c r="V1767" s="144" t="str">
        <f>IF(T1765&gt;0,"xx",IF(O1765&gt;0,"xy",""))</f>
        <v/>
      </c>
      <c r="W1767" s="43" t="str">
        <f t="shared" si="565"/>
        <v/>
      </c>
      <c r="X1767" s="43" t="str">
        <f t="shared" si="577"/>
        <v/>
      </c>
      <c r="Y1767" s="43" t="str">
        <f t="shared" si="570"/>
        <v/>
      </c>
    </row>
    <row r="1768" spans="1:25" ht="13.5" hidden="1" thickBot="1">
      <c r="A1768" s="155" t="s">
        <v>183</v>
      </c>
      <c r="B1768" s="156"/>
      <c r="C1768" s="348" t="s">
        <v>323</v>
      </c>
      <c r="D1768" s="157"/>
      <c r="E1768" s="405">
        <v>20</v>
      </c>
      <c r="F1768" s="406">
        <f>VLOOKUP(C1765,'ENSAIOS DE ORÇAMENTO'!$C$3:$L$79,6,FALSE)</f>
        <v>0</v>
      </c>
      <c r="G1768" s="158">
        <f>IF(E1768&lt;=30,(0.57*E1768+1.18)*F1768,((0.57*30+1.18)+0.47*(E1768-30))*F1768)</f>
        <v>0</v>
      </c>
      <c r="H1768" s="465"/>
      <c r="I1768" s="465" t="str">
        <f t="shared" si="594"/>
        <v/>
      </c>
      <c r="J1768" s="407">
        <f t="shared" si="568"/>
        <v>0</v>
      </c>
      <c r="K1768" s="394" t="s">
        <v>1029</v>
      </c>
      <c r="L1768" s="152">
        <v>0</v>
      </c>
      <c r="M1768" s="213"/>
      <c r="N1768" s="402">
        <f t="shared" si="580"/>
        <v>0</v>
      </c>
      <c r="O1768" s="402">
        <f t="shared" si="581"/>
        <v>0</v>
      </c>
      <c r="P1768" s="403"/>
      <c r="Q1768" s="212"/>
      <c r="R1768" s="213"/>
      <c r="S1768" s="402">
        <f t="shared" si="582"/>
        <v>0</v>
      </c>
      <c r="T1768" s="404">
        <f t="shared" si="575"/>
        <v>0</v>
      </c>
      <c r="U1768" s="403"/>
      <c r="V1768" s="144" t="str">
        <f>IF(T1765&gt;0,"xx",IF(O1765&gt;0,"xy",""))</f>
        <v/>
      </c>
      <c r="W1768" s="43" t="str">
        <f t="shared" si="565"/>
        <v/>
      </c>
      <c r="X1768" s="43" t="str">
        <f t="shared" si="577"/>
        <v/>
      </c>
      <c r="Y1768" s="43" t="str">
        <f t="shared" si="570"/>
        <v/>
      </c>
    </row>
    <row r="1769" spans="1:25" ht="13.5" hidden="1" thickBot="1">
      <c r="A1769" s="155" t="s">
        <v>183</v>
      </c>
      <c r="B1769" s="156"/>
      <c r="C1769" s="348" t="s">
        <v>511</v>
      </c>
      <c r="D1769" s="157"/>
      <c r="E1769" s="405">
        <v>30</v>
      </c>
      <c r="F1769" s="406">
        <f>VLOOKUP(C1765,'ENSAIOS DE ORÇAMENTO'!$C$3:$L$79,3,FALSE)</f>
        <v>0</v>
      </c>
      <c r="G1769" s="412">
        <f t="shared" ref="G1769" si="595">IF(E1769&lt;=30,(0.6*E1769+1.25)*F1769,((0.6*30+1.25)+0.5*(E1769-30))*F1769)</f>
        <v>0</v>
      </c>
      <c r="H1769" s="465"/>
      <c r="I1769" s="465" t="str">
        <f t="shared" si="594"/>
        <v/>
      </c>
      <c r="J1769" s="407">
        <f t="shared" si="568"/>
        <v>0</v>
      </c>
      <c r="K1769" s="394" t="s">
        <v>1029</v>
      </c>
      <c r="L1769" s="152">
        <v>0</v>
      </c>
      <c r="M1769" s="213"/>
      <c r="N1769" s="402">
        <f t="shared" si="580"/>
        <v>0</v>
      </c>
      <c r="O1769" s="402">
        <f t="shared" si="581"/>
        <v>0</v>
      </c>
      <c r="P1769" s="403"/>
      <c r="Q1769" s="212"/>
      <c r="R1769" s="213"/>
      <c r="S1769" s="402">
        <f t="shared" si="582"/>
        <v>0</v>
      </c>
      <c r="T1769" s="404">
        <f t="shared" si="575"/>
        <v>0</v>
      </c>
      <c r="U1769" s="403"/>
      <c r="V1769" s="144" t="str">
        <f>IF(T1765&gt;0,"xx",IF(O1765&gt;0,"xy",""))</f>
        <v/>
      </c>
      <c r="W1769" s="43" t="str">
        <f t="shared" si="565"/>
        <v/>
      </c>
      <c r="X1769" s="43" t="str">
        <f t="shared" si="577"/>
        <v/>
      </c>
      <c r="Y1769" s="43" t="str">
        <f t="shared" si="570"/>
        <v/>
      </c>
    </row>
    <row r="1770" spans="1:25" ht="13.5" hidden="1" thickBot="1">
      <c r="A1770" s="155" t="s">
        <v>183</v>
      </c>
      <c r="B1770" s="156"/>
      <c r="C1770" s="348" t="s">
        <v>512</v>
      </c>
      <c r="D1770" s="157"/>
      <c r="E1770" s="405">
        <v>500</v>
      </c>
      <c r="F1770" s="406">
        <f>VLOOKUP(C1765,'ENSAIOS DE ORÇAMENTO'!$C$3:$L$79,10,FALSE)</f>
        <v>0</v>
      </c>
      <c r="G1770" s="158">
        <f>IF(E1770&lt;=30,(0.4*E1770+3.35)*F1770,((0.4*30+3.35)+0.33*(E1770-30))*F1770)</f>
        <v>0</v>
      </c>
      <c r="H1770" s="465"/>
      <c r="I1770" s="465" t="str">
        <f t="shared" si="594"/>
        <v/>
      </c>
      <c r="J1770" s="407">
        <f t="shared" si="568"/>
        <v>0</v>
      </c>
      <c r="K1770" s="394" t="s">
        <v>1029</v>
      </c>
      <c r="L1770" s="152">
        <v>0</v>
      </c>
      <c r="M1770" s="213"/>
      <c r="N1770" s="402">
        <f t="shared" si="580"/>
        <v>0</v>
      </c>
      <c r="O1770" s="402">
        <f t="shared" si="581"/>
        <v>0</v>
      </c>
      <c r="P1770" s="403"/>
      <c r="Q1770" s="212"/>
      <c r="R1770" s="213"/>
      <c r="S1770" s="402">
        <f t="shared" si="582"/>
        <v>0</v>
      </c>
      <c r="T1770" s="404">
        <f t="shared" si="575"/>
        <v>0</v>
      </c>
      <c r="U1770" s="403"/>
      <c r="V1770" s="144" t="str">
        <f>IF(T1765&gt;0,"xx",IF(O1765&gt;0,"xy",""))</f>
        <v/>
      </c>
      <c r="W1770" s="43" t="str">
        <f t="shared" si="565"/>
        <v/>
      </c>
      <c r="X1770" s="43" t="str">
        <f t="shared" si="577"/>
        <v/>
      </c>
      <c r="Y1770" s="43" t="str">
        <f t="shared" si="570"/>
        <v/>
      </c>
    </row>
    <row r="1771" spans="1:25" ht="13.5" hidden="1" thickBot="1">
      <c r="A1771" s="155" t="s">
        <v>548</v>
      </c>
      <c r="B1771" s="156" t="s">
        <v>242</v>
      </c>
      <c r="C1771" s="411" t="str">
        <f>'ENSAIOS DE ORÇAMENTO'!C79</f>
        <v>ENSAIO DE ORÇAMENTO 10</v>
      </c>
      <c r="D1771" s="351"/>
      <c r="E1771" s="405"/>
      <c r="F1771" s="406"/>
      <c r="G1771" s="158">
        <f>SUM(G1772:G1776)</f>
        <v>0</v>
      </c>
      <c r="H1771" s="465">
        <f>VLOOKUP(C1771,'ENSAIOS DE ORÇAMENTO'!$C$3:$L$79,8,FALSE)</f>
        <v>0</v>
      </c>
      <c r="I1771" s="465">
        <f>IF(ISBLANK(H1771),"",SUM(G1771:H1771))*0.9</f>
        <v>0</v>
      </c>
      <c r="J1771" s="407">
        <f t="shared" si="568"/>
        <v>0</v>
      </c>
      <c r="K1771" s="408" t="s">
        <v>23</v>
      </c>
      <c r="L1771" s="152">
        <v>0</v>
      </c>
      <c r="M1771" s="152"/>
      <c r="N1771" s="402">
        <f t="shared" si="580"/>
        <v>0</v>
      </c>
      <c r="O1771" s="402">
        <f t="shared" si="581"/>
        <v>0</v>
      </c>
      <c r="P1771" s="403"/>
      <c r="Q1771" s="152">
        <f t="shared" si="593"/>
        <v>0</v>
      </c>
      <c r="R1771" s="152">
        <f t="shared" si="593"/>
        <v>0</v>
      </c>
      <c r="S1771" s="402">
        <f t="shared" si="582"/>
        <v>0</v>
      </c>
      <c r="T1771" s="404">
        <f t="shared" si="575"/>
        <v>0</v>
      </c>
      <c r="U1771" s="403"/>
      <c r="W1771" s="43" t="str">
        <f t="shared" si="565"/>
        <v/>
      </c>
      <c r="X1771" s="43" t="str">
        <f t="shared" si="577"/>
        <v/>
      </c>
      <c r="Y1771" s="43" t="str">
        <f t="shared" si="570"/>
        <v/>
      </c>
    </row>
    <row r="1772" spans="1:25" ht="13.5" hidden="1" thickBot="1">
      <c r="A1772" s="155" t="s">
        <v>183</v>
      </c>
      <c r="B1772" s="156"/>
      <c r="C1772" s="348" t="s">
        <v>251</v>
      </c>
      <c r="D1772" s="157"/>
      <c r="E1772" s="405">
        <v>500</v>
      </c>
      <c r="F1772" s="406">
        <f>VLOOKUP(C1771,'ENSAIOS DE ORÇAMENTO'!$C$3:$L$79,4,FALSE)</f>
        <v>0</v>
      </c>
      <c r="G1772" s="158">
        <f>IF(E1772&lt;=30,(0.4*E1772+3.35)*F1772,((0.4*30+3.35)+0.33*(E1772-30))*F1772)</f>
        <v>0</v>
      </c>
      <c r="H1772" s="465"/>
      <c r="I1772" s="465" t="str">
        <f t="shared" ref="I1772:I1776" si="596">IF(ISBLANK(H1772),"",SUM(G1772:H1772))</f>
        <v/>
      </c>
      <c r="J1772" s="407">
        <f t="shared" si="568"/>
        <v>0</v>
      </c>
      <c r="K1772" s="394" t="s">
        <v>1029</v>
      </c>
      <c r="L1772" s="152">
        <v>0</v>
      </c>
      <c r="M1772" s="213"/>
      <c r="N1772" s="402">
        <f t="shared" si="580"/>
        <v>0</v>
      </c>
      <c r="O1772" s="402">
        <f t="shared" si="581"/>
        <v>0</v>
      </c>
      <c r="P1772" s="403"/>
      <c r="Q1772" s="212"/>
      <c r="R1772" s="213"/>
      <c r="S1772" s="402">
        <f t="shared" si="582"/>
        <v>0</v>
      </c>
      <c r="T1772" s="404">
        <f t="shared" si="575"/>
        <v>0</v>
      </c>
      <c r="U1772" s="403"/>
      <c r="V1772" s="144" t="str">
        <f>IF(T1771&gt;0,"xx",IF(O1771&gt;0,"xy",""))</f>
        <v/>
      </c>
      <c r="W1772" s="43" t="str">
        <f t="shared" si="565"/>
        <v/>
      </c>
      <c r="X1772" s="43" t="str">
        <f t="shared" si="577"/>
        <v/>
      </c>
      <c r="Y1772" s="43" t="str">
        <f t="shared" si="570"/>
        <v/>
      </c>
    </row>
    <row r="1773" spans="1:25" ht="13.5" hidden="1" thickBot="1">
      <c r="A1773" s="155" t="s">
        <v>183</v>
      </c>
      <c r="B1773" s="156"/>
      <c r="C1773" s="348" t="s">
        <v>314</v>
      </c>
      <c r="D1773" s="157"/>
      <c r="E1773" s="405">
        <v>180</v>
      </c>
      <c r="F1773" s="406">
        <f>VLOOKUP(C1771,'ENSAIOS DE ORÇAMENTO'!$C$3:$L$79,5,FALSE)</f>
        <v>0</v>
      </c>
      <c r="G1773" s="158">
        <f>IF(E1773&lt;=30,(0.57*E1773+1.18)*F1773,((0.57*30+1.18)+0.47*(E1773-30))*F1773)</f>
        <v>0</v>
      </c>
      <c r="H1773" s="465"/>
      <c r="I1773" s="465" t="str">
        <f t="shared" si="596"/>
        <v/>
      </c>
      <c r="J1773" s="407">
        <f t="shared" si="568"/>
        <v>0</v>
      </c>
      <c r="K1773" s="394" t="s">
        <v>1029</v>
      </c>
      <c r="L1773" s="152">
        <v>0</v>
      </c>
      <c r="M1773" s="213"/>
      <c r="N1773" s="402">
        <f t="shared" si="580"/>
        <v>0</v>
      </c>
      <c r="O1773" s="402">
        <f t="shared" si="581"/>
        <v>0</v>
      </c>
      <c r="P1773" s="403"/>
      <c r="Q1773" s="212"/>
      <c r="R1773" s="213"/>
      <c r="S1773" s="402">
        <f t="shared" si="582"/>
        <v>0</v>
      </c>
      <c r="T1773" s="404">
        <f t="shared" si="575"/>
        <v>0</v>
      </c>
      <c r="U1773" s="403"/>
      <c r="V1773" s="144" t="str">
        <f>IF(T1771&gt;0,"xx",IF(O1771&gt;0,"xy",""))</f>
        <v/>
      </c>
      <c r="W1773" s="43" t="str">
        <f t="shared" ref="W1773:W1836" si="597">IF(V1773="X","x",IF(V1773="xx","x",IF(V1773="xy","x",IF(V1773="y","x",IF(OR(O1773&gt;0,T1773&gt;0),"x","")))))</f>
        <v/>
      </c>
      <c r="X1773" s="43" t="str">
        <f t="shared" si="577"/>
        <v/>
      </c>
      <c r="Y1773" s="43" t="str">
        <f t="shared" si="570"/>
        <v/>
      </c>
    </row>
    <row r="1774" spans="1:25" ht="13.5" hidden="1" thickBot="1">
      <c r="A1774" s="155" t="s">
        <v>183</v>
      </c>
      <c r="B1774" s="156"/>
      <c r="C1774" s="348" t="s">
        <v>323</v>
      </c>
      <c r="D1774" s="157"/>
      <c r="E1774" s="405">
        <v>20</v>
      </c>
      <c r="F1774" s="406">
        <f>VLOOKUP(C1771,'ENSAIOS DE ORÇAMENTO'!$C$3:$L$79,6,FALSE)</f>
        <v>0</v>
      </c>
      <c r="G1774" s="158">
        <f>IF(E1774&lt;=30,(0.57*E1774+1.18)*F1774,((0.57*30+1.18)+0.47*(E1774-30))*F1774)</f>
        <v>0</v>
      </c>
      <c r="H1774" s="465"/>
      <c r="I1774" s="465" t="str">
        <f t="shared" si="596"/>
        <v/>
      </c>
      <c r="J1774" s="407">
        <f t="shared" si="568"/>
        <v>0</v>
      </c>
      <c r="K1774" s="394" t="s">
        <v>1029</v>
      </c>
      <c r="L1774" s="152">
        <v>0</v>
      </c>
      <c r="M1774" s="213"/>
      <c r="N1774" s="402">
        <f t="shared" si="580"/>
        <v>0</v>
      </c>
      <c r="O1774" s="402">
        <f t="shared" si="581"/>
        <v>0</v>
      </c>
      <c r="P1774" s="403"/>
      <c r="Q1774" s="212"/>
      <c r="R1774" s="213"/>
      <c r="S1774" s="402">
        <f t="shared" si="582"/>
        <v>0</v>
      </c>
      <c r="T1774" s="404">
        <f t="shared" si="575"/>
        <v>0</v>
      </c>
      <c r="U1774" s="403"/>
      <c r="V1774" s="144" t="str">
        <f>IF(T1771&gt;0,"xx",IF(O1771&gt;0,"xy",""))</f>
        <v/>
      </c>
      <c r="W1774" s="43" t="str">
        <f t="shared" si="597"/>
        <v/>
      </c>
      <c r="X1774" s="43" t="str">
        <f t="shared" si="577"/>
        <v/>
      </c>
      <c r="Y1774" s="43" t="str">
        <f t="shared" si="570"/>
        <v/>
      </c>
    </row>
    <row r="1775" spans="1:25" ht="13.5" hidden="1" thickBot="1">
      <c r="A1775" s="155" t="s">
        <v>183</v>
      </c>
      <c r="B1775" s="156"/>
      <c r="C1775" s="348" t="s">
        <v>511</v>
      </c>
      <c r="D1775" s="157"/>
      <c r="E1775" s="405">
        <v>30</v>
      </c>
      <c r="F1775" s="406">
        <f>VLOOKUP(C1771,'ENSAIOS DE ORÇAMENTO'!$C$3:$L$79,3,FALSE)</f>
        <v>0</v>
      </c>
      <c r="G1775" s="412">
        <f t="shared" ref="G1775" si="598">IF(E1775&lt;=30,(0.6*E1775+1.25)*F1775,((0.6*30+1.25)+0.5*(E1775-30))*F1775)</f>
        <v>0</v>
      </c>
      <c r="H1775" s="465"/>
      <c r="I1775" s="465" t="str">
        <f t="shared" si="596"/>
        <v/>
      </c>
      <c r="J1775" s="407">
        <f t="shared" si="568"/>
        <v>0</v>
      </c>
      <c r="K1775" s="394" t="s">
        <v>1029</v>
      </c>
      <c r="L1775" s="152">
        <v>0</v>
      </c>
      <c r="M1775" s="213"/>
      <c r="N1775" s="402">
        <f t="shared" si="580"/>
        <v>0</v>
      </c>
      <c r="O1775" s="402">
        <f t="shared" si="581"/>
        <v>0</v>
      </c>
      <c r="P1775" s="403"/>
      <c r="Q1775" s="212"/>
      <c r="R1775" s="213"/>
      <c r="S1775" s="402">
        <f t="shared" si="582"/>
        <v>0</v>
      </c>
      <c r="T1775" s="404">
        <f t="shared" si="575"/>
        <v>0</v>
      </c>
      <c r="U1775" s="403"/>
      <c r="V1775" s="144" t="str">
        <f>IF(T1771&gt;0,"xx",IF(O1771&gt;0,"xy",""))</f>
        <v/>
      </c>
      <c r="W1775" s="43" t="str">
        <f t="shared" si="597"/>
        <v/>
      </c>
      <c r="X1775" s="43" t="str">
        <f t="shared" si="577"/>
        <v/>
      </c>
      <c r="Y1775" s="43" t="str">
        <f t="shared" si="570"/>
        <v/>
      </c>
    </row>
    <row r="1776" spans="1:25" ht="13.5" hidden="1" thickBot="1">
      <c r="A1776" s="155" t="s">
        <v>183</v>
      </c>
      <c r="B1776" s="156"/>
      <c r="C1776" s="348" t="s">
        <v>512</v>
      </c>
      <c r="D1776" s="157"/>
      <c r="E1776" s="405">
        <v>500</v>
      </c>
      <c r="F1776" s="406">
        <f>VLOOKUP(C1771,'ENSAIOS DE ORÇAMENTO'!$C$3:$L$79,10,FALSE)</f>
        <v>0</v>
      </c>
      <c r="G1776" s="158"/>
      <c r="H1776" s="465"/>
      <c r="I1776" s="465" t="str">
        <f t="shared" si="596"/>
        <v/>
      </c>
      <c r="J1776" s="407">
        <f t="shared" si="568"/>
        <v>0</v>
      </c>
      <c r="K1776" s="394" t="s">
        <v>1029</v>
      </c>
      <c r="L1776" s="152">
        <v>0</v>
      </c>
      <c r="M1776" s="213"/>
      <c r="N1776" s="402">
        <f t="shared" si="580"/>
        <v>0</v>
      </c>
      <c r="O1776" s="404">
        <f t="shared" si="581"/>
        <v>0</v>
      </c>
      <c r="P1776" s="403"/>
      <c r="Q1776" s="212"/>
      <c r="R1776" s="213"/>
      <c r="S1776" s="402">
        <f t="shared" si="582"/>
        <v>0</v>
      </c>
      <c r="T1776" s="404">
        <f t="shared" si="575"/>
        <v>0</v>
      </c>
      <c r="U1776" s="403"/>
      <c r="V1776" s="144" t="str">
        <f>IF(T1771&gt;0,"xx",IF(O1771&gt;0,"xy",""))</f>
        <v/>
      </c>
      <c r="W1776" s="43" t="str">
        <f t="shared" si="597"/>
        <v/>
      </c>
      <c r="X1776" s="43" t="str">
        <f t="shared" si="577"/>
        <v/>
      </c>
      <c r="Y1776" s="43" t="str">
        <f t="shared" si="570"/>
        <v/>
      </c>
    </row>
    <row r="1777" spans="1:25" ht="13.5" hidden="1" thickBot="1">
      <c r="A1777" s="400" t="s">
        <v>217</v>
      </c>
      <c r="B1777" s="206"/>
      <c r="C1777" s="344" t="s">
        <v>559</v>
      </c>
      <c r="D1777" s="185"/>
      <c r="E1777" s="207"/>
      <c r="F1777" s="208"/>
      <c r="G1777" s="209"/>
      <c r="H1777" s="210"/>
      <c r="I1777" s="210"/>
      <c r="J1777" s="210"/>
      <c r="K1777" s="210" t="s">
        <v>1029</v>
      </c>
      <c r="L1777" s="152">
        <v>0</v>
      </c>
      <c r="M1777" s="210"/>
      <c r="N1777" s="210"/>
      <c r="O1777" s="211"/>
      <c r="P1777" s="403"/>
      <c r="Q1777" s="209"/>
      <c r="R1777" s="210"/>
      <c r="S1777" s="210"/>
      <c r="T1777" s="211"/>
      <c r="U1777" s="403"/>
      <c r="V1777" s="144" t="str">
        <f>IF(OR(SUM(O1778:O1809)&gt;0,SUM(T1778:T1809)&gt;0),"y","")</f>
        <v/>
      </c>
      <c r="W1777" s="43" t="str">
        <f t="shared" si="597"/>
        <v/>
      </c>
      <c r="X1777" s="43" t="str">
        <f t="shared" si="577"/>
        <v/>
      </c>
      <c r="Y1777" s="43" t="str">
        <f t="shared" si="570"/>
        <v/>
      </c>
    </row>
    <row r="1778" spans="1:25" ht="13.5" hidden="1" thickBot="1">
      <c r="A1778" s="397" t="s">
        <v>217</v>
      </c>
      <c r="B1778" s="165" t="s">
        <v>217</v>
      </c>
      <c r="C1778" s="203"/>
      <c r="D1778" s="167"/>
      <c r="E1778" s="168"/>
      <c r="F1778" s="169"/>
      <c r="G1778" s="170"/>
      <c r="H1778" s="171"/>
      <c r="I1778" s="452"/>
      <c r="J1778" s="453">
        <f t="shared" ref="J1778:J1808" si="599">IF(ISBLANK(I1778),0,ROUND(I1778*(1+$E$10)*(1+$E$11*D1778),2))</f>
        <v>0</v>
      </c>
      <c r="K1778" s="392" t="s">
        <v>1029</v>
      </c>
      <c r="L1778" s="152">
        <v>0</v>
      </c>
      <c r="M1778" s="204"/>
      <c r="N1778" s="402">
        <f t="shared" ref="N1778" si="600">IF(ISBLANK(L1778),0,ROUND(J1778*L1778,2))</f>
        <v>0</v>
      </c>
      <c r="O1778" s="404">
        <f t="shared" ref="O1778:O1808" si="601">IF(ISBLANK(M1778),0,ROUND(L1778*M1778,2))</f>
        <v>0</v>
      </c>
      <c r="P1778" s="403"/>
      <c r="Q1778" s="205">
        <f t="shared" ref="Q1778:R1808" si="602">L1778</f>
        <v>0</v>
      </c>
      <c r="R1778" s="204">
        <f t="shared" si="602"/>
        <v>0</v>
      </c>
      <c r="S1778" s="402">
        <f t="shared" ref="S1778:S1808" si="603">IF(ISBLANK(Q1778),0,ROUND(J1778*Q1778,2))</f>
        <v>0</v>
      </c>
      <c r="T1778" s="404">
        <f t="shared" ref="T1778:T1808" si="604">IF(ISBLANK(Q1778),0,ROUND(Q1778*R1778,2))</f>
        <v>0</v>
      </c>
      <c r="U1778" s="403"/>
      <c r="W1778" s="43" t="str">
        <f t="shared" si="597"/>
        <v/>
      </c>
      <c r="X1778" s="43" t="str">
        <f t="shared" si="577"/>
        <v/>
      </c>
      <c r="Y1778" s="43" t="str">
        <f t="shared" si="570"/>
        <v/>
      </c>
    </row>
    <row r="1779" spans="1:25" ht="13.5" hidden="1" thickBot="1">
      <c r="A1779" s="397" t="s">
        <v>217</v>
      </c>
      <c r="B1779" s="165" t="s">
        <v>217</v>
      </c>
      <c r="C1779" s="184"/>
      <c r="D1779" s="167"/>
      <c r="E1779" s="168"/>
      <c r="F1779" s="169"/>
      <c r="G1779" s="170"/>
      <c r="H1779" s="171"/>
      <c r="I1779" s="452"/>
      <c r="J1779" s="454">
        <f t="shared" si="599"/>
        <v>0</v>
      </c>
      <c r="K1779" s="392" t="s">
        <v>1029</v>
      </c>
      <c r="L1779" s="152">
        <v>0</v>
      </c>
      <c r="M1779" s="152"/>
      <c r="N1779" s="402">
        <f>IF(ISBLANK(L1779),0,ROUND(J1779*L1779,2))</f>
        <v>0</v>
      </c>
      <c r="O1779" s="402">
        <f t="shared" si="601"/>
        <v>0</v>
      </c>
      <c r="P1779" s="403"/>
      <c r="Q1779" s="152">
        <f t="shared" si="602"/>
        <v>0</v>
      </c>
      <c r="R1779" s="152">
        <f t="shared" si="602"/>
        <v>0</v>
      </c>
      <c r="S1779" s="402">
        <f t="shared" si="603"/>
        <v>0</v>
      </c>
      <c r="T1779" s="164">
        <f t="shared" si="604"/>
        <v>0</v>
      </c>
      <c r="U1779" s="403"/>
      <c r="W1779" s="43" t="str">
        <f t="shared" si="597"/>
        <v/>
      </c>
      <c r="X1779" s="43" t="str">
        <f t="shared" si="577"/>
        <v/>
      </c>
      <c r="Y1779" s="43" t="str">
        <f t="shared" si="570"/>
        <v/>
      </c>
    </row>
    <row r="1780" spans="1:25" ht="13.5" hidden="1" thickBot="1">
      <c r="A1780" s="397" t="s">
        <v>217</v>
      </c>
      <c r="B1780" s="165" t="s">
        <v>217</v>
      </c>
      <c r="C1780" s="184"/>
      <c r="D1780" s="167"/>
      <c r="E1780" s="168"/>
      <c r="F1780" s="169"/>
      <c r="G1780" s="170"/>
      <c r="H1780" s="171"/>
      <c r="I1780" s="452"/>
      <c r="J1780" s="454">
        <f t="shared" si="599"/>
        <v>0</v>
      </c>
      <c r="K1780" s="392" t="s">
        <v>1029</v>
      </c>
      <c r="L1780" s="152">
        <v>0</v>
      </c>
      <c r="M1780" s="152"/>
      <c r="N1780" s="402">
        <f t="shared" ref="N1780:N1808" si="605">IF(ISBLANK(L1780),0,ROUND(J1780*L1780,2))</f>
        <v>0</v>
      </c>
      <c r="O1780" s="402">
        <f t="shared" si="601"/>
        <v>0</v>
      </c>
      <c r="P1780" s="403"/>
      <c r="Q1780" s="152">
        <f t="shared" si="602"/>
        <v>0</v>
      </c>
      <c r="R1780" s="152">
        <f t="shared" si="602"/>
        <v>0</v>
      </c>
      <c r="S1780" s="402">
        <f t="shared" si="603"/>
        <v>0</v>
      </c>
      <c r="T1780" s="404">
        <f t="shared" si="604"/>
        <v>0</v>
      </c>
      <c r="U1780" s="403"/>
      <c r="W1780" s="43" t="str">
        <f t="shared" si="597"/>
        <v/>
      </c>
      <c r="X1780" s="43" t="str">
        <f t="shared" si="577"/>
        <v/>
      </c>
      <c r="Y1780" s="43" t="str">
        <f t="shared" ref="Y1780:Y1843" si="606">IF(V1780="X","x",IF(T1780&gt;0,"x",""))</f>
        <v/>
      </c>
    </row>
    <row r="1781" spans="1:25" ht="13.5" hidden="1" thickBot="1">
      <c r="A1781" s="397" t="s">
        <v>217</v>
      </c>
      <c r="B1781" s="165" t="s">
        <v>217</v>
      </c>
      <c r="C1781" s="184"/>
      <c r="D1781" s="167"/>
      <c r="E1781" s="168"/>
      <c r="F1781" s="169"/>
      <c r="G1781" s="170"/>
      <c r="H1781" s="171"/>
      <c r="I1781" s="452"/>
      <c r="J1781" s="454">
        <f t="shared" si="599"/>
        <v>0</v>
      </c>
      <c r="K1781" s="392" t="s">
        <v>1029</v>
      </c>
      <c r="L1781" s="152">
        <v>0</v>
      </c>
      <c r="M1781" s="152"/>
      <c r="N1781" s="402">
        <f t="shared" si="605"/>
        <v>0</v>
      </c>
      <c r="O1781" s="402">
        <f t="shared" si="601"/>
        <v>0</v>
      </c>
      <c r="P1781" s="403"/>
      <c r="Q1781" s="152">
        <f t="shared" si="602"/>
        <v>0</v>
      </c>
      <c r="R1781" s="152">
        <f t="shared" si="602"/>
        <v>0</v>
      </c>
      <c r="S1781" s="402">
        <f t="shared" si="603"/>
        <v>0</v>
      </c>
      <c r="T1781" s="404">
        <f t="shared" si="604"/>
        <v>0</v>
      </c>
      <c r="U1781" s="403"/>
      <c r="W1781" s="43" t="str">
        <f t="shared" si="597"/>
        <v/>
      </c>
      <c r="X1781" s="43" t="str">
        <f t="shared" si="577"/>
        <v/>
      </c>
      <c r="Y1781" s="43" t="str">
        <f t="shared" si="606"/>
        <v/>
      </c>
    </row>
    <row r="1782" spans="1:25" ht="13.5" hidden="1" thickBot="1">
      <c r="A1782" s="397" t="s">
        <v>217</v>
      </c>
      <c r="B1782" s="165" t="s">
        <v>217</v>
      </c>
      <c r="C1782" s="184"/>
      <c r="D1782" s="167"/>
      <c r="E1782" s="168"/>
      <c r="F1782" s="169"/>
      <c r="G1782" s="170"/>
      <c r="H1782" s="171"/>
      <c r="I1782" s="452"/>
      <c r="J1782" s="454">
        <f t="shared" si="599"/>
        <v>0</v>
      </c>
      <c r="K1782" s="392" t="s">
        <v>1029</v>
      </c>
      <c r="L1782" s="152">
        <v>0</v>
      </c>
      <c r="M1782" s="152"/>
      <c r="N1782" s="402">
        <f t="shared" si="605"/>
        <v>0</v>
      </c>
      <c r="O1782" s="402">
        <f t="shared" si="601"/>
        <v>0</v>
      </c>
      <c r="P1782" s="403"/>
      <c r="Q1782" s="152">
        <f t="shared" si="602"/>
        <v>0</v>
      </c>
      <c r="R1782" s="152">
        <f t="shared" si="602"/>
        <v>0</v>
      </c>
      <c r="S1782" s="402">
        <f t="shared" si="603"/>
        <v>0</v>
      </c>
      <c r="T1782" s="404">
        <f t="shared" si="604"/>
        <v>0</v>
      </c>
      <c r="U1782" s="403"/>
      <c r="W1782" s="43" t="str">
        <f t="shared" si="597"/>
        <v/>
      </c>
      <c r="X1782" s="43" t="str">
        <f t="shared" si="577"/>
        <v/>
      </c>
      <c r="Y1782" s="43" t="str">
        <f t="shared" si="606"/>
        <v/>
      </c>
    </row>
    <row r="1783" spans="1:25" ht="13.5" hidden="1" thickBot="1">
      <c r="A1783" s="397" t="s">
        <v>217</v>
      </c>
      <c r="B1783" s="165" t="s">
        <v>217</v>
      </c>
      <c r="C1783" s="184"/>
      <c r="D1783" s="167"/>
      <c r="E1783" s="168"/>
      <c r="F1783" s="169"/>
      <c r="G1783" s="170"/>
      <c r="H1783" s="171"/>
      <c r="I1783" s="452"/>
      <c r="J1783" s="454">
        <f t="shared" si="599"/>
        <v>0</v>
      </c>
      <c r="K1783" s="392" t="s">
        <v>1029</v>
      </c>
      <c r="L1783" s="152">
        <v>0</v>
      </c>
      <c r="M1783" s="152"/>
      <c r="N1783" s="402">
        <f t="shared" si="605"/>
        <v>0</v>
      </c>
      <c r="O1783" s="402">
        <f t="shared" si="601"/>
        <v>0</v>
      </c>
      <c r="P1783" s="403"/>
      <c r="Q1783" s="152">
        <f t="shared" si="602"/>
        <v>0</v>
      </c>
      <c r="R1783" s="152">
        <f t="shared" si="602"/>
        <v>0</v>
      </c>
      <c r="S1783" s="402">
        <f t="shared" si="603"/>
        <v>0</v>
      </c>
      <c r="T1783" s="404">
        <f t="shared" si="604"/>
        <v>0</v>
      </c>
      <c r="U1783" s="403"/>
      <c r="W1783" s="43" t="str">
        <f t="shared" si="597"/>
        <v/>
      </c>
      <c r="X1783" s="43" t="str">
        <f t="shared" si="577"/>
        <v/>
      </c>
      <c r="Y1783" s="43" t="str">
        <f t="shared" si="606"/>
        <v/>
      </c>
    </row>
    <row r="1784" spans="1:25" ht="13.5" hidden="1" thickBot="1">
      <c r="A1784" s="397" t="s">
        <v>217</v>
      </c>
      <c r="B1784" s="165" t="s">
        <v>217</v>
      </c>
      <c r="C1784" s="184"/>
      <c r="D1784" s="167"/>
      <c r="E1784" s="168"/>
      <c r="F1784" s="169"/>
      <c r="G1784" s="170"/>
      <c r="H1784" s="171"/>
      <c r="I1784" s="452"/>
      <c r="J1784" s="454">
        <f t="shared" si="599"/>
        <v>0</v>
      </c>
      <c r="K1784" s="392" t="s">
        <v>1029</v>
      </c>
      <c r="L1784" s="152">
        <v>0</v>
      </c>
      <c r="M1784" s="152"/>
      <c r="N1784" s="402">
        <f t="shared" si="605"/>
        <v>0</v>
      </c>
      <c r="O1784" s="402">
        <f t="shared" si="601"/>
        <v>0</v>
      </c>
      <c r="P1784" s="403"/>
      <c r="Q1784" s="152">
        <f t="shared" si="602"/>
        <v>0</v>
      </c>
      <c r="R1784" s="152">
        <f t="shared" si="602"/>
        <v>0</v>
      </c>
      <c r="S1784" s="402">
        <f t="shared" si="603"/>
        <v>0</v>
      </c>
      <c r="T1784" s="404">
        <f t="shared" si="604"/>
        <v>0</v>
      </c>
      <c r="U1784" s="403"/>
      <c r="W1784" s="43" t="str">
        <f t="shared" si="597"/>
        <v/>
      </c>
      <c r="X1784" s="43" t="str">
        <f t="shared" si="577"/>
        <v/>
      </c>
      <c r="Y1784" s="43" t="str">
        <f t="shared" si="606"/>
        <v/>
      </c>
    </row>
    <row r="1785" spans="1:25" ht="13.5" hidden="1" thickBot="1">
      <c r="A1785" s="397" t="s">
        <v>217</v>
      </c>
      <c r="B1785" s="165" t="s">
        <v>217</v>
      </c>
      <c r="C1785" s="184"/>
      <c r="D1785" s="167"/>
      <c r="E1785" s="168"/>
      <c r="F1785" s="169"/>
      <c r="G1785" s="170"/>
      <c r="H1785" s="171"/>
      <c r="I1785" s="452"/>
      <c r="J1785" s="454">
        <f t="shared" si="599"/>
        <v>0</v>
      </c>
      <c r="K1785" s="392" t="s">
        <v>1029</v>
      </c>
      <c r="L1785" s="152">
        <v>0</v>
      </c>
      <c r="M1785" s="152"/>
      <c r="N1785" s="402">
        <f t="shared" si="605"/>
        <v>0</v>
      </c>
      <c r="O1785" s="402">
        <f t="shared" si="601"/>
        <v>0</v>
      </c>
      <c r="P1785" s="403"/>
      <c r="Q1785" s="152">
        <f t="shared" si="602"/>
        <v>0</v>
      </c>
      <c r="R1785" s="152">
        <f t="shared" si="602"/>
        <v>0</v>
      </c>
      <c r="S1785" s="402">
        <f t="shared" si="603"/>
        <v>0</v>
      </c>
      <c r="T1785" s="404">
        <f t="shared" si="604"/>
        <v>0</v>
      </c>
      <c r="U1785" s="403"/>
      <c r="W1785" s="43" t="str">
        <f t="shared" si="597"/>
        <v/>
      </c>
      <c r="X1785" s="43" t="str">
        <f t="shared" si="577"/>
        <v/>
      </c>
      <c r="Y1785" s="43" t="str">
        <f t="shared" si="606"/>
        <v/>
      </c>
    </row>
    <row r="1786" spans="1:25" ht="13.5" hidden="1" thickBot="1">
      <c r="A1786" s="397" t="s">
        <v>217</v>
      </c>
      <c r="B1786" s="165" t="s">
        <v>217</v>
      </c>
      <c r="C1786" s="184"/>
      <c r="D1786" s="167"/>
      <c r="E1786" s="168"/>
      <c r="F1786" s="169"/>
      <c r="G1786" s="170"/>
      <c r="H1786" s="171"/>
      <c r="I1786" s="452"/>
      <c r="J1786" s="454">
        <f t="shared" si="599"/>
        <v>0</v>
      </c>
      <c r="K1786" s="392" t="s">
        <v>1029</v>
      </c>
      <c r="L1786" s="152">
        <v>0</v>
      </c>
      <c r="M1786" s="152"/>
      <c r="N1786" s="402">
        <f t="shared" si="605"/>
        <v>0</v>
      </c>
      <c r="O1786" s="402">
        <f t="shared" si="601"/>
        <v>0</v>
      </c>
      <c r="P1786" s="403"/>
      <c r="Q1786" s="152">
        <f t="shared" si="602"/>
        <v>0</v>
      </c>
      <c r="R1786" s="152">
        <f t="shared" si="602"/>
        <v>0</v>
      </c>
      <c r="S1786" s="402">
        <f t="shared" si="603"/>
        <v>0</v>
      </c>
      <c r="T1786" s="404">
        <f t="shared" si="604"/>
        <v>0</v>
      </c>
      <c r="U1786" s="403"/>
      <c r="W1786" s="43" t="str">
        <f t="shared" si="597"/>
        <v/>
      </c>
      <c r="X1786" s="43" t="str">
        <f t="shared" si="577"/>
        <v/>
      </c>
      <c r="Y1786" s="43" t="str">
        <f t="shared" si="606"/>
        <v/>
      </c>
    </row>
    <row r="1787" spans="1:25" ht="13.5" hidden="1" thickBot="1">
      <c r="A1787" s="397" t="s">
        <v>217</v>
      </c>
      <c r="B1787" s="165" t="s">
        <v>217</v>
      </c>
      <c r="C1787" s="184"/>
      <c r="D1787" s="167"/>
      <c r="E1787" s="168"/>
      <c r="F1787" s="169"/>
      <c r="G1787" s="170"/>
      <c r="H1787" s="171"/>
      <c r="I1787" s="452"/>
      <c r="J1787" s="454">
        <f t="shared" si="599"/>
        <v>0</v>
      </c>
      <c r="K1787" s="392" t="s">
        <v>1029</v>
      </c>
      <c r="L1787" s="152">
        <v>0</v>
      </c>
      <c r="M1787" s="152"/>
      <c r="N1787" s="402">
        <f t="shared" si="605"/>
        <v>0</v>
      </c>
      <c r="O1787" s="402">
        <f t="shared" si="601"/>
        <v>0</v>
      </c>
      <c r="P1787" s="403"/>
      <c r="Q1787" s="152">
        <f t="shared" si="602"/>
        <v>0</v>
      </c>
      <c r="R1787" s="152">
        <f t="shared" si="602"/>
        <v>0</v>
      </c>
      <c r="S1787" s="402">
        <f t="shared" si="603"/>
        <v>0</v>
      </c>
      <c r="T1787" s="404">
        <f t="shared" si="604"/>
        <v>0</v>
      </c>
      <c r="U1787" s="403"/>
      <c r="W1787" s="43" t="str">
        <f t="shared" si="597"/>
        <v/>
      </c>
      <c r="X1787" s="43" t="str">
        <f t="shared" si="577"/>
        <v/>
      </c>
      <c r="Y1787" s="43" t="str">
        <f t="shared" si="606"/>
        <v/>
      </c>
    </row>
    <row r="1788" spans="1:25" ht="13.5" hidden="1" thickBot="1">
      <c r="A1788" s="397" t="s">
        <v>217</v>
      </c>
      <c r="B1788" s="165" t="s">
        <v>217</v>
      </c>
      <c r="C1788" s="184"/>
      <c r="D1788" s="167"/>
      <c r="E1788" s="168"/>
      <c r="F1788" s="169"/>
      <c r="G1788" s="170"/>
      <c r="H1788" s="171"/>
      <c r="I1788" s="452"/>
      <c r="J1788" s="454">
        <f t="shared" si="599"/>
        <v>0</v>
      </c>
      <c r="K1788" s="392" t="s">
        <v>1029</v>
      </c>
      <c r="L1788" s="152">
        <v>0</v>
      </c>
      <c r="M1788" s="152"/>
      <c r="N1788" s="402">
        <f t="shared" si="605"/>
        <v>0</v>
      </c>
      <c r="O1788" s="402">
        <f t="shared" si="601"/>
        <v>0</v>
      </c>
      <c r="P1788" s="403"/>
      <c r="Q1788" s="152">
        <f t="shared" si="602"/>
        <v>0</v>
      </c>
      <c r="R1788" s="152">
        <f t="shared" si="602"/>
        <v>0</v>
      </c>
      <c r="S1788" s="402">
        <f t="shared" si="603"/>
        <v>0</v>
      </c>
      <c r="T1788" s="404">
        <f t="shared" si="604"/>
        <v>0</v>
      </c>
      <c r="U1788" s="403"/>
      <c r="W1788" s="43" t="str">
        <f t="shared" si="597"/>
        <v/>
      </c>
      <c r="X1788" s="43" t="str">
        <f t="shared" si="577"/>
        <v/>
      </c>
      <c r="Y1788" s="43" t="str">
        <f t="shared" si="606"/>
        <v/>
      </c>
    </row>
    <row r="1789" spans="1:25" ht="13.5" hidden="1" thickBot="1">
      <c r="A1789" s="397" t="s">
        <v>217</v>
      </c>
      <c r="B1789" s="165" t="s">
        <v>217</v>
      </c>
      <c r="C1789" s="184"/>
      <c r="D1789" s="167"/>
      <c r="E1789" s="168"/>
      <c r="F1789" s="169"/>
      <c r="G1789" s="170"/>
      <c r="H1789" s="171"/>
      <c r="I1789" s="452"/>
      <c r="J1789" s="454">
        <f t="shared" si="599"/>
        <v>0</v>
      </c>
      <c r="K1789" s="392" t="s">
        <v>1029</v>
      </c>
      <c r="L1789" s="152">
        <v>0</v>
      </c>
      <c r="M1789" s="152"/>
      <c r="N1789" s="402">
        <f t="shared" si="605"/>
        <v>0</v>
      </c>
      <c r="O1789" s="402">
        <f t="shared" si="601"/>
        <v>0</v>
      </c>
      <c r="P1789" s="403"/>
      <c r="Q1789" s="152">
        <f t="shared" si="602"/>
        <v>0</v>
      </c>
      <c r="R1789" s="152">
        <f t="shared" si="602"/>
        <v>0</v>
      </c>
      <c r="S1789" s="402">
        <f t="shared" si="603"/>
        <v>0</v>
      </c>
      <c r="T1789" s="404">
        <f t="shared" si="604"/>
        <v>0</v>
      </c>
      <c r="U1789" s="403"/>
      <c r="W1789" s="43" t="str">
        <f t="shared" si="597"/>
        <v/>
      </c>
      <c r="X1789" s="43" t="str">
        <f t="shared" si="577"/>
        <v/>
      </c>
      <c r="Y1789" s="43" t="str">
        <f t="shared" si="606"/>
        <v/>
      </c>
    </row>
    <row r="1790" spans="1:25" ht="13.5" hidden="1" thickBot="1">
      <c r="A1790" s="397" t="s">
        <v>217</v>
      </c>
      <c r="B1790" s="165" t="s">
        <v>217</v>
      </c>
      <c r="C1790" s="184"/>
      <c r="D1790" s="167"/>
      <c r="E1790" s="168"/>
      <c r="F1790" s="169"/>
      <c r="G1790" s="170"/>
      <c r="H1790" s="171"/>
      <c r="I1790" s="452"/>
      <c r="J1790" s="454">
        <f t="shared" si="599"/>
        <v>0</v>
      </c>
      <c r="K1790" s="392" t="s">
        <v>1029</v>
      </c>
      <c r="L1790" s="152">
        <v>0</v>
      </c>
      <c r="M1790" s="152"/>
      <c r="N1790" s="402">
        <f t="shared" si="605"/>
        <v>0</v>
      </c>
      <c r="O1790" s="402">
        <f t="shared" si="601"/>
        <v>0</v>
      </c>
      <c r="P1790" s="403"/>
      <c r="Q1790" s="152">
        <f t="shared" si="602"/>
        <v>0</v>
      </c>
      <c r="R1790" s="152">
        <f t="shared" si="602"/>
        <v>0</v>
      </c>
      <c r="S1790" s="402">
        <f t="shared" si="603"/>
        <v>0</v>
      </c>
      <c r="T1790" s="404">
        <f t="shared" si="604"/>
        <v>0</v>
      </c>
      <c r="U1790" s="403"/>
      <c r="W1790" s="43" t="str">
        <f t="shared" si="597"/>
        <v/>
      </c>
      <c r="X1790" s="43" t="str">
        <f t="shared" si="577"/>
        <v/>
      </c>
      <c r="Y1790" s="43" t="str">
        <f t="shared" si="606"/>
        <v/>
      </c>
    </row>
    <row r="1791" spans="1:25" ht="13.5" hidden="1" thickBot="1">
      <c r="A1791" s="397" t="s">
        <v>217</v>
      </c>
      <c r="B1791" s="165" t="s">
        <v>217</v>
      </c>
      <c r="C1791" s="184"/>
      <c r="D1791" s="167"/>
      <c r="E1791" s="168"/>
      <c r="F1791" s="169"/>
      <c r="G1791" s="170"/>
      <c r="H1791" s="171"/>
      <c r="I1791" s="452"/>
      <c r="J1791" s="454">
        <f t="shared" si="599"/>
        <v>0</v>
      </c>
      <c r="K1791" s="392" t="s">
        <v>1029</v>
      </c>
      <c r="L1791" s="152">
        <v>0</v>
      </c>
      <c r="M1791" s="152"/>
      <c r="N1791" s="402">
        <f t="shared" si="605"/>
        <v>0</v>
      </c>
      <c r="O1791" s="402">
        <f t="shared" si="601"/>
        <v>0</v>
      </c>
      <c r="P1791" s="403"/>
      <c r="Q1791" s="152">
        <f t="shared" si="602"/>
        <v>0</v>
      </c>
      <c r="R1791" s="152">
        <f t="shared" si="602"/>
        <v>0</v>
      </c>
      <c r="S1791" s="402">
        <f t="shared" si="603"/>
        <v>0</v>
      </c>
      <c r="T1791" s="404">
        <f t="shared" si="604"/>
        <v>0</v>
      </c>
      <c r="U1791" s="403"/>
      <c r="W1791" s="43" t="str">
        <f t="shared" si="597"/>
        <v/>
      </c>
      <c r="X1791" s="43" t="str">
        <f t="shared" ref="X1791:X1853" si="607">IF(V1791="X","x",IF(V1791="y","x",IF(V1791="xx","x",IF(T1791&gt;0,"x",""))))</f>
        <v/>
      </c>
      <c r="Y1791" s="43" t="str">
        <f t="shared" si="606"/>
        <v/>
      </c>
    </row>
    <row r="1792" spans="1:25" ht="13.5" hidden="1" thickBot="1">
      <c r="A1792" s="397" t="s">
        <v>217</v>
      </c>
      <c r="B1792" s="165" t="s">
        <v>217</v>
      </c>
      <c r="C1792" s="184"/>
      <c r="D1792" s="167"/>
      <c r="E1792" s="168"/>
      <c r="F1792" s="169"/>
      <c r="G1792" s="170"/>
      <c r="H1792" s="171"/>
      <c r="I1792" s="452"/>
      <c r="J1792" s="454">
        <f t="shared" si="599"/>
        <v>0</v>
      </c>
      <c r="K1792" s="392" t="s">
        <v>1029</v>
      </c>
      <c r="L1792" s="152">
        <v>0</v>
      </c>
      <c r="M1792" s="152"/>
      <c r="N1792" s="402">
        <f t="shared" si="605"/>
        <v>0</v>
      </c>
      <c r="O1792" s="402">
        <f t="shared" si="601"/>
        <v>0</v>
      </c>
      <c r="P1792" s="403"/>
      <c r="Q1792" s="152">
        <f t="shared" si="602"/>
        <v>0</v>
      </c>
      <c r="R1792" s="152">
        <f t="shared" si="602"/>
        <v>0</v>
      </c>
      <c r="S1792" s="402">
        <f t="shared" si="603"/>
        <v>0</v>
      </c>
      <c r="T1792" s="404">
        <f t="shared" si="604"/>
        <v>0</v>
      </c>
      <c r="U1792" s="403"/>
      <c r="W1792" s="43" t="str">
        <f t="shared" si="597"/>
        <v/>
      </c>
      <c r="X1792" s="43" t="str">
        <f t="shared" si="607"/>
        <v/>
      </c>
      <c r="Y1792" s="43" t="str">
        <f t="shared" si="606"/>
        <v/>
      </c>
    </row>
    <row r="1793" spans="1:25" ht="13.5" hidden="1" thickBot="1">
      <c r="A1793" s="397" t="s">
        <v>217</v>
      </c>
      <c r="B1793" s="165" t="s">
        <v>217</v>
      </c>
      <c r="C1793" s="184"/>
      <c r="D1793" s="167"/>
      <c r="E1793" s="168"/>
      <c r="F1793" s="169"/>
      <c r="G1793" s="170"/>
      <c r="H1793" s="171"/>
      <c r="I1793" s="452"/>
      <c r="J1793" s="454">
        <f t="shared" si="599"/>
        <v>0</v>
      </c>
      <c r="K1793" s="392" t="s">
        <v>1029</v>
      </c>
      <c r="L1793" s="152">
        <v>0</v>
      </c>
      <c r="M1793" s="152"/>
      <c r="N1793" s="402">
        <f t="shared" si="605"/>
        <v>0</v>
      </c>
      <c r="O1793" s="402">
        <f t="shared" si="601"/>
        <v>0</v>
      </c>
      <c r="P1793" s="403"/>
      <c r="Q1793" s="152">
        <f t="shared" si="602"/>
        <v>0</v>
      </c>
      <c r="R1793" s="152">
        <f t="shared" si="602"/>
        <v>0</v>
      </c>
      <c r="S1793" s="402">
        <f t="shared" si="603"/>
        <v>0</v>
      </c>
      <c r="T1793" s="404">
        <f t="shared" si="604"/>
        <v>0</v>
      </c>
      <c r="U1793" s="403"/>
      <c r="W1793" s="43" t="str">
        <f t="shared" si="597"/>
        <v/>
      </c>
      <c r="X1793" s="43" t="str">
        <f t="shared" si="607"/>
        <v/>
      </c>
      <c r="Y1793" s="43" t="str">
        <f t="shared" si="606"/>
        <v/>
      </c>
    </row>
    <row r="1794" spans="1:25" ht="13.5" hidden="1" thickBot="1">
      <c r="A1794" s="397" t="s">
        <v>217</v>
      </c>
      <c r="B1794" s="165" t="s">
        <v>217</v>
      </c>
      <c r="C1794" s="184"/>
      <c r="D1794" s="167"/>
      <c r="E1794" s="168"/>
      <c r="F1794" s="169"/>
      <c r="G1794" s="170"/>
      <c r="H1794" s="171"/>
      <c r="I1794" s="452"/>
      <c r="J1794" s="454">
        <f t="shared" si="599"/>
        <v>0</v>
      </c>
      <c r="K1794" s="392" t="s">
        <v>1029</v>
      </c>
      <c r="L1794" s="152">
        <v>0</v>
      </c>
      <c r="M1794" s="152"/>
      <c r="N1794" s="402">
        <f t="shared" si="605"/>
        <v>0</v>
      </c>
      <c r="O1794" s="402">
        <f t="shared" si="601"/>
        <v>0</v>
      </c>
      <c r="P1794" s="403"/>
      <c r="Q1794" s="152">
        <f t="shared" si="602"/>
        <v>0</v>
      </c>
      <c r="R1794" s="152">
        <f t="shared" si="602"/>
        <v>0</v>
      </c>
      <c r="S1794" s="402">
        <f t="shared" si="603"/>
        <v>0</v>
      </c>
      <c r="T1794" s="404">
        <f t="shared" si="604"/>
        <v>0</v>
      </c>
      <c r="U1794" s="403"/>
      <c r="W1794" s="43" t="str">
        <f t="shared" si="597"/>
        <v/>
      </c>
      <c r="X1794" s="43" t="str">
        <f t="shared" si="607"/>
        <v/>
      </c>
      <c r="Y1794" s="43" t="str">
        <f t="shared" si="606"/>
        <v/>
      </c>
    </row>
    <row r="1795" spans="1:25" ht="13.5" hidden="1" thickBot="1">
      <c r="A1795" s="397" t="s">
        <v>217</v>
      </c>
      <c r="B1795" s="165" t="s">
        <v>217</v>
      </c>
      <c r="C1795" s="184"/>
      <c r="D1795" s="167"/>
      <c r="E1795" s="168"/>
      <c r="F1795" s="169"/>
      <c r="G1795" s="170"/>
      <c r="H1795" s="171"/>
      <c r="I1795" s="452"/>
      <c r="J1795" s="454">
        <f t="shared" si="599"/>
        <v>0</v>
      </c>
      <c r="K1795" s="392" t="s">
        <v>1029</v>
      </c>
      <c r="L1795" s="152">
        <v>0</v>
      </c>
      <c r="M1795" s="152"/>
      <c r="N1795" s="402">
        <f t="shared" si="605"/>
        <v>0</v>
      </c>
      <c r="O1795" s="402">
        <f t="shared" si="601"/>
        <v>0</v>
      </c>
      <c r="P1795" s="403"/>
      <c r="Q1795" s="152">
        <f t="shared" si="602"/>
        <v>0</v>
      </c>
      <c r="R1795" s="152">
        <f t="shared" si="602"/>
        <v>0</v>
      </c>
      <c r="S1795" s="402">
        <f t="shared" si="603"/>
        <v>0</v>
      </c>
      <c r="T1795" s="404">
        <f t="shared" si="604"/>
        <v>0</v>
      </c>
      <c r="U1795" s="403"/>
      <c r="W1795" s="43" t="str">
        <f t="shared" si="597"/>
        <v/>
      </c>
      <c r="X1795" s="43" t="str">
        <f t="shared" si="607"/>
        <v/>
      </c>
      <c r="Y1795" s="43" t="str">
        <f t="shared" si="606"/>
        <v/>
      </c>
    </row>
    <row r="1796" spans="1:25" ht="13.5" hidden="1" thickBot="1">
      <c r="A1796" s="397" t="s">
        <v>217</v>
      </c>
      <c r="B1796" s="165" t="s">
        <v>217</v>
      </c>
      <c r="C1796" s="184"/>
      <c r="D1796" s="167"/>
      <c r="E1796" s="168"/>
      <c r="F1796" s="169"/>
      <c r="G1796" s="170"/>
      <c r="H1796" s="171"/>
      <c r="I1796" s="452"/>
      <c r="J1796" s="454">
        <f t="shared" si="599"/>
        <v>0</v>
      </c>
      <c r="K1796" s="392" t="s">
        <v>1029</v>
      </c>
      <c r="L1796" s="152">
        <v>0</v>
      </c>
      <c r="M1796" s="152"/>
      <c r="N1796" s="402">
        <f t="shared" si="605"/>
        <v>0</v>
      </c>
      <c r="O1796" s="402">
        <f t="shared" si="601"/>
        <v>0</v>
      </c>
      <c r="P1796" s="403"/>
      <c r="Q1796" s="152">
        <f t="shared" si="602"/>
        <v>0</v>
      </c>
      <c r="R1796" s="152">
        <f t="shared" si="602"/>
        <v>0</v>
      </c>
      <c r="S1796" s="402">
        <f t="shared" si="603"/>
        <v>0</v>
      </c>
      <c r="T1796" s="404">
        <f t="shared" si="604"/>
        <v>0</v>
      </c>
      <c r="U1796" s="403"/>
      <c r="W1796" s="43" t="str">
        <f t="shared" si="597"/>
        <v/>
      </c>
      <c r="X1796" s="43" t="str">
        <f t="shared" si="607"/>
        <v/>
      </c>
      <c r="Y1796" s="43" t="str">
        <f t="shared" si="606"/>
        <v/>
      </c>
    </row>
    <row r="1797" spans="1:25" ht="13.5" hidden="1" thickBot="1">
      <c r="A1797" s="397" t="s">
        <v>217</v>
      </c>
      <c r="B1797" s="165" t="s">
        <v>217</v>
      </c>
      <c r="C1797" s="184"/>
      <c r="D1797" s="167"/>
      <c r="E1797" s="168"/>
      <c r="F1797" s="169"/>
      <c r="G1797" s="170"/>
      <c r="H1797" s="171"/>
      <c r="I1797" s="452"/>
      <c r="J1797" s="454">
        <f t="shared" si="599"/>
        <v>0</v>
      </c>
      <c r="K1797" s="392" t="s">
        <v>1029</v>
      </c>
      <c r="L1797" s="152">
        <v>0</v>
      </c>
      <c r="M1797" s="152"/>
      <c r="N1797" s="402">
        <f t="shared" si="605"/>
        <v>0</v>
      </c>
      <c r="O1797" s="402">
        <f t="shared" si="601"/>
        <v>0</v>
      </c>
      <c r="P1797" s="403"/>
      <c r="Q1797" s="152">
        <f t="shared" si="602"/>
        <v>0</v>
      </c>
      <c r="R1797" s="152">
        <f t="shared" si="602"/>
        <v>0</v>
      </c>
      <c r="S1797" s="402">
        <f t="shared" si="603"/>
        <v>0</v>
      </c>
      <c r="T1797" s="404">
        <f t="shared" si="604"/>
        <v>0</v>
      </c>
      <c r="U1797" s="403"/>
      <c r="W1797" s="43" t="str">
        <f t="shared" si="597"/>
        <v/>
      </c>
      <c r="X1797" s="43" t="str">
        <f t="shared" si="607"/>
        <v/>
      </c>
      <c r="Y1797" s="43" t="str">
        <f t="shared" si="606"/>
        <v/>
      </c>
    </row>
    <row r="1798" spans="1:25" ht="13.5" hidden="1" thickBot="1">
      <c r="A1798" s="397" t="s">
        <v>217</v>
      </c>
      <c r="B1798" s="165" t="s">
        <v>217</v>
      </c>
      <c r="C1798" s="184"/>
      <c r="D1798" s="167"/>
      <c r="E1798" s="168"/>
      <c r="F1798" s="169"/>
      <c r="G1798" s="170"/>
      <c r="H1798" s="171"/>
      <c r="I1798" s="452"/>
      <c r="J1798" s="454">
        <f t="shared" si="599"/>
        <v>0</v>
      </c>
      <c r="K1798" s="392" t="s">
        <v>1029</v>
      </c>
      <c r="L1798" s="152">
        <v>0</v>
      </c>
      <c r="M1798" s="152"/>
      <c r="N1798" s="402">
        <f t="shared" si="605"/>
        <v>0</v>
      </c>
      <c r="O1798" s="402">
        <f t="shared" si="601"/>
        <v>0</v>
      </c>
      <c r="P1798" s="403"/>
      <c r="Q1798" s="152">
        <f t="shared" si="602"/>
        <v>0</v>
      </c>
      <c r="R1798" s="152">
        <f t="shared" si="602"/>
        <v>0</v>
      </c>
      <c r="S1798" s="402">
        <f t="shared" si="603"/>
        <v>0</v>
      </c>
      <c r="T1798" s="404">
        <f t="shared" si="604"/>
        <v>0</v>
      </c>
      <c r="U1798" s="403"/>
      <c r="W1798" s="43" t="str">
        <f t="shared" si="597"/>
        <v/>
      </c>
      <c r="X1798" s="43" t="str">
        <f t="shared" si="607"/>
        <v/>
      </c>
      <c r="Y1798" s="43" t="str">
        <f t="shared" si="606"/>
        <v/>
      </c>
    </row>
    <row r="1799" spans="1:25" ht="13.5" hidden="1" thickBot="1">
      <c r="A1799" s="397" t="s">
        <v>217</v>
      </c>
      <c r="B1799" s="165" t="s">
        <v>217</v>
      </c>
      <c r="C1799" s="184"/>
      <c r="D1799" s="167"/>
      <c r="E1799" s="168"/>
      <c r="F1799" s="169"/>
      <c r="G1799" s="170"/>
      <c r="H1799" s="171"/>
      <c r="I1799" s="452"/>
      <c r="J1799" s="454">
        <f t="shared" si="599"/>
        <v>0</v>
      </c>
      <c r="K1799" s="392" t="s">
        <v>1029</v>
      </c>
      <c r="L1799" s="152">
        <v>0</v>
      </c>
      <c r="M1799" s="152"/>
      <c r="N1799" s="402">
        <f t="shared" si="605"/>
        <v>0</v>
      </c>
      <c r="O1799" s="402">
        <f t="shared" si="601"/>
        <v>0</v>
      </c>
      <c r="P1799" s="403"/>
      <c r="Q1799" s="152">
        <f t="shared" si="602"/>
        <v>0</v>
      </c>
      <c r="R1799" s="152">
        <f t="shared" si="602"/>
        <v>0</v>
      </c>
      <c r="S1799" s="402">
        <f t="shared" si="603"/>
        <v>0</v>
      </c>
      <c r="T1799" s="404">
        <f t="shared" si="604"/>
        <v>0</v>
      </c>
      <c r="U1799" s="403"/>
      <c r="W1799" s="43" t="str">
        <f t="shared" si="597"/>
        <v/>
      </c>
      <c r="X1799" s="43" t="str">
        <f t="shared" si="607"/>
        <v/>
      </c>
      <c r="Y1799" s="43" t="str">
        <f t="shared" si="606"/>
        <v/>
      </c>
    </row>
    <row r="1800" spans="1:25" ht="13.5" hidden="1" thickBot="1">
      <c r="A1800" s="397" t="s">
        <v>217</v>
      </c>
      <c r="B1800" s="165" t="s">
        <v>217</v>
      </c>
      <c r="C1800" s="184"/>
      <c r="D1800" s="167"/>
      <c r="E1800" s="168"/>
      <c r="F1800" s="169"/>
      <c r="G1800" s="170"/>
      <c r="H1800" s="171"/>
      <c r="I1800" s="452"/>
      <c r="J1800" s="454">
        <f t="shared" si="599"/>
        <v>0</v>
      </c>
      <c r="K1800" s="392" t="s">
        <v>1029</v>
      </c>
      <c r="L1800" s="152">
        <v>0</v>
      </c>
      <c r="M1800" s="152"/>
      <c r="N1800" s="402">
        <f t="shared" si="605"/>
        <v>0</v>
      </c>
      <c r="O1800" s="402">
        <f t="shared" si="601"/>
        <v>0</v>
      </c>
      <c r="P1800" s="403"/>
      <c r="Q1800" s="152">
        <f t="shared" si="602"/>
        <v>0</v>
      </c>
      <c r="R1800" s="152">
        <f t="shared" si="602"/>
        <v>0</v>
      </c>
      <c r="S1800" s="402">
        <f t="shared" si="603"/>
        <v>0</v>
      </c>
      <c r="T1800" s="404">
        <f t="shared" si="604"/>
        <v>0</v>
      </c>
      <c r="U1800" s="403"/>
      <c r="W1800" s="43" t="str">
        <f t="shared" si="597"/>
        <v/>
      </c>
      <c r="X1800" s="43" t="str">
        <f t="shared" si="607"/>
        <v/>
      </c>
      <c r="Y1800" s="43" t="str">
        <f t="shared" si="606"/>
        <v/>
      </c>
    </row>
    <row r="1801" spans="1:25" ht="13.5" hidden="1" thickBot="1">
      <c r="A1801" s="397" t="s">
        <v>217</v>
      </c>
      <c r="B1801" s="165" t="s">
        <v>217</v>
      </c>
      <c r="C1801" s="184"/>
      <c r="D1801" s="167"/>
      <c r="E1801" s="168"/>
      <c r="F1801" s="169"/>
      <c r="G1801" s="170"/>
      <c r="H1801" s="171"/>
      <c r="I1801" s="452"/>
      <c r="J1801" s="454">
        <f t="shared" si="599"/>
        <v>0</v>
      </c>
      <c r="K1801" s="392" t="s">
        <v>1029</v>
      </c>
      <c r="L1801" s="152">
        <v>0</v>
      </c>
      <c r="M1801" s="152"/>
      <c r="N1801" s="402">
        <f t="shared" si="605"/>
        <v>0</v>
      </c>
      <c r="O1801" s="402">
        <f t="shared" si="601"/>
        <v>0</v>
      </c>
      <c r="P1801" s="403"/>
      <c r="Q1801" s="152">
        <f t="shared" si="602"/>
        <v>0</v>
      </c>
      <c r="R1801" s="152">
        <f t="shared" si="602"/>
        <v>0</v>
      </c>
      <c r="S1801" s="402">
        <f t="shared" si="603"/>
        <v>0</v>
      </c>
      <c r="T1801" s="404">
        <f t="shared" si="604"/>
        <v>0</v>
      </c>
      <c r="U1801" s="403"/>
      <c r="W1801" s="43" t="str">
        <f t="shared" si="597"/>
        <v/>
      </c>
      <c r="X1801" s="43" t="str">
        <f t="shared" si="607"/>
        <v/>
      </c>
      <c r="Y1801" s="43" t="str">
        <f t="shared" si="606"/>
        <v/>
      </c>
    </row>
    <row r="1802" spans="1:25" ht="13.5" hidden="1" thickBot="1">
      <c r="A1802" s="397" t="s">
        <v>217</v>
      </c>
      <c r="B1802" s="165" t="s">
        <v>217</v>
      </c>
      <c r="C1802" s="184"/>
      <c r="D1802" s="167"/>
      <c r="E1802" s="168"/>
      <c r="F1802" s="169"/>
      <c r="G1802" s="170"/>
      <c r="H1802" s="171"/>
      <c r="I1802" s="452"/>
      <c r="J1802" s="454">
        <f t="shared" si="599"/>
        <v>0</v>
      </c>
      <c r="K1802" s="392" t="s">
        <v>1029</v>
      </c>
      <c r="L1802" s="152">
        <v>0</v>
      </c>
      <c r="M1802" s="152"/>
      <c r="N1802" s="402">
        <f t="shared" si="605"/>
        <v>0</v>
      </c>
      <c r="O1802" s="402">
        <f t="shared" si="601"/>
        <v>0</v>
      </c>
      <c r="P1802" s="403"/>
      <c r="Q1802" s="152">
        <f t="shared" si="602"/>
        <v>0</v>
      </c>
      <c r="R1802" s="152">
        <f t="shared" si="602"/>
        <v>0</v>
      </c>
      <c r="S1802" s="402">
        <f t="shared" si="603"/>
        <v>0</v>
      </c>
      <c r="T1802" s="404">
        <f t="shared" si="604"/>
        <v>0</v>
      </c>
      <c r="U1802" s="403"/>
      <c r="W1802" s="43" t="str">
        <f t="shared" si="597"/>
        <v/>
      </c>
      <c r="X1802" s="43" t="str">
        <f t="shared" si="607"/>
        <v/>
      </c>
      <c r="Y1802" s="43" t="str">
        <f t="shared" si="606"/>
        <v/>
      </c>
    </row>
    <row r="1803" spans="1:25" ht="13.5" hidden="1" thickBot="1">
      <c r="A1803" s="397" t="s">
        <v>217</v>
      </c>
      <c r="B1803" s="165" t="s">
        <v>217</v>
      </c>
      <c r="C1803" s="184"/>
      <c r="D1803" s="167"/>
      <c r="E1803" s="168"/>
      <c r="F1803" s="169"/>
      <c r="G1803" s="170"/>
      <c r="H1803" s="171"/>
      <c r="I1803" s="452"/>
      <c r="J1803" s="454">
        <f t="shared" si="599"/>
        <v>0</v>
      </c>
      <c r="K1803" s="392" t="s">
        <v>1029</v>
      </c>
      <c r="L1803" s="152">
        <v>0</v>
      </c>
      <c r="M1803" s="152"/>
      <c r="N1803" s="402">
        <f t="shared" si="605"/>
        <v>0</v>
      </c>
      <c r="O1803" s="402">
        <f t="shared" si="601"/>
        <v>0</v>
      </c>
      <c r="P1803" s="403"/>
      <c r="Q1803" s="152">
        <f t="shared" si="602"/>
        <v>0</v>
      </c>
      <c r="R1803" s="152">
        <f t="shared" si="602"/>
        <v>0</v>
      </c>
      <c r="S1803" s="402">
        <f t="shared" si="603"/>
        <v>0</v>
      </c>
      <c r="T1803" s="404">
        <f t="shared" si="604"/>
        <v>0</v>
      </c>
      <c r="U1803" s="403"/>
      <c r="W1803" s="43" t="str">
        <f t="shared" si="597"/>
        <v/>
      </c>
      <c r="X1803" s="43" t="str">
        <f t="shared" si="607"/>
        <v/>
      </c>
      <c r="Y1803" s="43" t="str">
        <f t="shared" si="606"/>
        <v/>
      </c>
    </row>
    <row r="1804" spans="1:25" ht="13.5" hidden="1" thickBot="1">
      <c r="A1804" s="397" t="s">
        <v>217</v>
      </c>
      <c r="B1804" s="165" t="s">
        <v>217</v>
      </c>
      <c r="C1804" s="184"/>
      <c r="D1804" s="167"/>
      <c r="E1804" s="168"/>
      <c r="F1804" s="169"/>
      <c r="G1804" s="170"/>
      <c r="H1804" s="171"/>
      <c r="I1804" s="452"/>
      <c r="J1804" s="454">
        <f t="shared" si="599"/>
        <v>0</v>
      </c>
      <c r="K1804" s="392" t="s">
        <v>1029</v>
      </c>
      <c r="L1804" s="152">
        <v>0</v>
      </c>
      <c r="M1804" s="152"/>
      <c r="N1804" s="402">
        <f t="shared" si="605"/>
        <v>0</v>
      </c>
      <c r="O1804" s="402">
        <f t="shared" si="601"/>
        <v>0</v>
      </c>
      <c r="P1804" s="403"/>
      <c r="Q1804" s="152">
        <f t="shared" si="602"/>
        <v>0</v>
      </c>
      <c r="R1804" s="152">
        <f t="shared" si="602"/>
        <v>0</v>
      </c>
      <c r="S1804" s="402">
        <f t="shared" si="603"/>
        <v>0</v>
      </c>
      <c r="T1804" s="404">
        <f t="shared" si="604"/>
        <v>0</v>
      </c>
      <c r="U1804" s="403"/>
      <c r="W1804" s="43" t="str">
        <f t="shared" si="597"/>
        <v/>
      </c>
      <c r="X1804" s="43" t="str">
        <f t="shared" si="607"/>
        <v/>
      </c>
      <c r="Y1804" s="43" t="str">
        <f t="shared" si="606"/>
        <v/>
      </c>
    </row>
    <row r="1805" spans="1:25" ht="13.5" hidden="1" thickBot="1">
      <c r="A1805" s="397" t="s">
        <v>217</v>
      </c>
      <c r="B1805" s="165" t="s">
        <v>217</v>
      </c>
      <c r="C1805" s="184"/>
      <c r="D1805" s="167"/>
      <c r="E1805" s="168"/>
      <c r="F1805" s="169"/>
      <c r="G1805" s="170"/>
      <c r="H1805" s="171"/>
      <c r="I1805" s="452"/>
      <c r="J1805" s="454">
        <f t="shared" si="599"/>
        <v>0</v>
      </c>
      <c r="K1805" s="392" t="s">
        <v>1029</v>
      </c>
      <c r="L1805" s="152">
        <v>0</v>
      </c>
      <c r="M1805" s="152"/>
      <c r="N1805" s="402">
        <f t="shared" si="605"/>
        <v>0</v>
      </c>
      <c r="O1805" s="402">
        <f t="shared" si="601"/>
        <v>0</v>
      </c>
      <c r="P1805" s="403"/>
      <c r="Q1805" s="152">
        <f t="shared" si="602"/>
        <v>0</v>
      </c>
      <c r="R1805" s="152">
        <f t="shared" si="602"/>
        <v>0</v>
      </c>
      <c r="S1805" s="402">
        <f t="shared" si="603"/>
        <v>0</v>
      </c>
      <c r="T1805" s="404">
        <f t="shared" si="604"/>
        <v>0</v>
      </c>
      <c r="U1805" s="403"/>
      <c r="W1805" s="43" t="str">
        <f t="shared" si="597"/>
        <v/>
      </c>
      <c r="X1805" s="43" t="str">
        <f t="shared" si="607"/>
        <v/>
      </c>
      <c r="Y1805" s="43" t="str">
        <f t="shared" si="606"/>
        <v/>
      </c>
    </row>
    <row r="1806" spans="1:25" ht="13.5" hidden="1" thickBot="1">
      <c r="A1806" s="397" t="s">
        <v>217</v>
      </c>
      <c r="B1806" s="165" t="s">
        <v>217</v>
      </c>
      <c r="C1806" s="184"/>
      <c r="D1806" s="167"/>
      <c r="E1806" s="168"/>
      <c r="F1806" s="169"/>
      <c r="G1806" s="170"/>
      <c r="H1806" s="171"/>
      <c r="I1806" s="452"/>
      <c r="J1806" s="454">
        <f t="shared" si="599"/>
        <v>0</v>
      </c>
      <c r="K1806" s="392" t="s">
        <v>1029</v>
      </c>
      <c r="L1806" s="152">
        <v>0</v>
      </c>
      <c r="M1806" s="152"/>
      <c r="N1806" s="402">
        <f t="shared" si="605"/>
        <v>0</v>
      </c>
      <c r="O1806" s="402">
        <f t="shared" si="601"/>
        <v>0</v>
      </c>
      <c r="P1806" s="403"/>
      <c r="Q1806" s="152">
        <f t="shared" si="602"/>
        <v>0</v>
      </c>
      <c r="R1806" s="152">
        <f t="shared" si="602"/>
        <v>0</v>
      </c>
      <c r="S1806" s="402">
        <f t="shared" si="603"/>
        <v>0</v>
      </c>
      <c r="T1806" s="404">
        <f t="shared" si="604"/>
        <v>0</v>
      </c>
      <c r="U1806" s="403"/>
      <c r="W1806" s="43" t="str">
        <f t="shared" si="597"/>
        <v/>
      </c>
      <c r="X1806" s="43" t="str">
        <f t="shared" si="607"/>
        <v/>
      </c>
      <c r="Y1806" s="43" t="str">
        <f t="shared" si="606"/>
        <v/>
      </c>
    </row>
    <row r="1807" spans="1:25" ht="13.5" hidden="1" thickBot="1">
      <c r="A1807" s="397" t="s">
        <v>217</v>
      </c>
      <c r="B1807" s="165" t="s">
        <v>217</v>
      </c>
      <c r="C1807" s="184"/>
      <c r="D1807" s="167"/>
      <c r="E1807" s="168"/>
      <c r="F1807" s="169"/>
      <c r="G1807" s="170"/>
      <c r="H1807" s="171"/>
      <c r="I1807" s="452"/>
      <c r="J1807" s="454">
        <f t="shared" si="599"/>
        <v>0</v>
      </c>
      <c r="K1807" s="392" t="s">
        <v>1029</v>
      </c>
      <c r="L1807" s="152">
        <v>0</v>
      </c>
      <c r="M1807" s="152"/>
      <c r="N1807" s="402">
        <f t="shared" si="605"/>
        <v>0</v>
      </c>
      <c r="O1807" s="402">
        <f t="shared" si="601"/>
        <v>0</v>
      </c>
      <c r="P1807" s="403"/>
      <c r="Q1807" s="152">
        <f t="shared" si="602"/>
        <v>0</v>
      </c>
      <c r="R1807" s="152">
        <f t="shared" si="602"/>
        <v>0</v>
      </c>
      <c r="S1807" s="402">
        <f t="shared" si="603"/>
        <v>0</v>
      </c>
      <c r="T1807" s="404">
        <f t="shared" si="604"/>
        <v>0</v>
      </c>
      <c r="U1807" s="403"/>
      <c r="W1807" s="43" t="str">
        <f t="shared" si="597"/>
        <v/>
      </c>
      <c r="X1807" s="43" t="str">
        <f t="shared" si="607"/>
        <v/>
      </c>
      <c r="Y1807" s="44" t="str">
        <f t="shared" si="606"/>
        <v/>
      </c>
    </row>
    <row r="1808" spans="1:25" ht="13.5" hidden="1" thickBot="1">
      <c r="A1808" s="397" t="s">
        <v>217</v>
      </c>
      <c r="B1808" s="165" t="s">
        <v>217</v>
      </c>
      <c r="C1808" s="184"/>
      <c r="D1808" s="167"/>
      <c r="E1808" s="168"/>
      <c r="F1808" s="169"/>
      <c r="G1808" s="170"/>
      <c r="H1808" s="171"/>
      <c r="I1808" s="452"/>
      <c r="J1808" s="454">
        <f t="shared" si="599"/>
        <v>0</v>
      </c>
      <c r="K1808" s="392" t="s">
        <v>1029</v>
      </c>
      <c r="L1808" s="469">
        <v>0</v>
      </c>
      <c r="M1808" s="152"/>
      <c r="N1808" s="402">
        <f t="shared" si="605"/>
        <v>0</v>
      </c>
      <c r="O1808" s="402">
        <f t="shared" si="601"/>
        <v>0</v>
      </c>
      <c r="P1808" s="403"/>
      <c r="Q1808" s="152">
        <f t="shared" si="602"/>
        <v>0</v>
      </c>
      <c r="R1808" s="152">
        <f t="shared" si="602"/>
        <v>0</v>
      </c>
      <c r="S1808" s="402">
        <f t="shared" si="603"/>
        <v>0</v>
      </c>
      <c r="T1808" s="404">
        <f t="shared" si="604"/>
        <v>0</v>
      </c>
      <c r="U1808" s="403"/>
      <c r="W1808" s="43" t="str">
        <f t="shared" si="597"/>
        <v/>
      </c>
      <c r="X1808" s="43" t="str">
        <f t="shared" si="607"/>
        <v/>
      </c>
      <c r="Y1808" s="44" t="str">
        <f t="shared" si="606"/>
        <v/>
      </c>
    </row>
    <row r="1809" spans="1:25" ht="51.75" thickBot="1">
      <c r="A1809" s="180" t="s">
        <v>1004</v>
      </c>
      <c r="B1809" s="181"/>
      <c r="C1809" s="346" t="s">
        <v>1026</v>
      </c>
      <c r="D1809" s="137"/>
      <c r="E1809" s="138" t="s">
        <v>1109</v>
      </c>
      <c r="F1809" s="139"/>
      <c r="G1809" s="140"/>
      <c r="H1809" s="141"/>
      <c r="I1809" s="141"/>
      <c r="J1809" s="141"/>
      <c r="K1809" s="141" t="s">
        <v>1029</v>
      </c>
      <c r="L1809" s="470">
        <v>0</v>
      </c>
      <c r="M1809" s="141"/>
      <c r="N1809" s="141"/>
      <c r="O1809" s="142"/>
      <c r="P1809" s="143">
        <f>SUM(O1810:O1853)</f>
        <v>6282.0599999999995</v>
      </c>
      <c r="Q1809" s="140"/>
      <c r="R1809" s="141"/>
      <c r="S1809" s="141"/>
      <c r="T1809" s="142"/>
      <c r="U1809" s="143">
        <f>SUM(T1810:T1853)</f>
        <v>6282.0599999999995</v>
      </c>
      <c r="V1809" s="144" t="str">
        <f>IF(OR(P1809&gt;0,U1809&gt;0),"X","")</f>
        <v>X</v>
      </c>
      <c r="W1809" s="43" t="str">
        <f t="shared" si="597"/>
        <v>x</v>
      </c>
      <c r="X1809" s="43" t="str">
        <f t="shared" si="607"/>
        <v>x</v>
      </c>
      <c r="Y1809" s="43" t="str">
        <f t="shared" si="606"/>
        <v>x</v>
      </c>
    </row>
    <row r="1810" spans="1:25" s="390" customFormat="1" ht="25.5" hidden="1">
      <c r="A1810" s="375" t="s">
        <v>1005</v>
      </c>
      <c r="B1810" s="376" t="s">
        <v>241</v>
      </c>
      <c r="C1810" s="377" t="s">
        <v>1006</v>
      </c>
      <c r="D1810" s="415"/>
      <c r="E1810" s="378">
        <v>0</v>
      </c>
      <c r="F1810" s="379">
        <v>0</v>
      </c>
      <c r="G1810" s="380">
        <v>0</v>
      </c>
      <c r="H1810" s="381">
        <v>45.32</v>
      </c>
      <c r="I1810" s="381">
        <f>IF(ISBLANK(H1810),"",SUM(G1810:H1810))</f>
        <v>45.32</v>
      </c>
      <c r="J1810" s="382">
        <f t="shared" ref="J1810:J1821" si="608">IF(ISBLANK(H1810),0,ROUND(I1810*(1+$E$10)*(1+$E$11*D1810),2))</f>
        <v>57.47</v>
      </c>
      <c r="K1810" s="383" t="s">
        <v>23</v>
      </c>
      <c r="L1810" s="152">
        <v>0</v>
      </c>
      <c r="M1810" s="384"/>
      <c r="N1810" s="385">
        <f t="shared" ref="N1810:N1821" si="609">IF(ISBLANK(L1810),0,ROUND(J1810*L1810,2))</f>
        <v>0</v>
      </c>
      <c r="O1810" s="385">
        <f t="shared" ref="O1810:O1821" si="610">IF(ISBLANK(M1810),0,ROUND(L1810*M1810,2))</f>
        <v>0</v>
      </c>
      <c r="P1810" s="386"/>
      <c r="Q1810" s="384">
        <f t="shared" ref="Q1810:R1821" si="611">L1810</f>
        <v>0</v>
      </c>
      <c r="R1810" s="384">
        <f t="shared" si="611"/>
        <v>0</v>
      </c>
      <c r="S1810" s="385">
        <f t="shared" ref="S1810:S1821" si="612">IF(ISBLANK(Q1810),0,ROUND(J1810*Q1810,2))</f>
        <v>0</v>
      </c>
      <c r="T1810" s="387">
        <f t="shared" ref="T1810:T1821" si="613">IF(ISBLANK(Q1810),0,ROUND(Q1810*R1810,2))</f>
        <v>0</v>
      </c>
      <c r="U1810" s="386"/>
      <c r="V1810" s="388"/>
      <c r="W1810" s="389" t="str">
        <f t="shared" si="597"/>
        <v/>
      </c>
      <c r="X1810" s="389" t="str">
        <f t="shared" si="607"/>
        <v/>
      </c>
      <c r="Y1810" s="389" t="str">
        <f t="shared" si="606"/>
        <v/>
      </c>
    </row>
    <row r="1811" spans="1:25" s="390" customFormat="1" ht="25.5" hidden="1">
      <c r="A1811" s="375" t="s">
        <v>1005</v>
      </c>
      <c r="B1811" s="376" t="s">
        <v>241</v>
      </c>
      <c r="C1811" s="377" t="s">
        <v>1007</v>
      </c>
      <c r="D1811" s="415"/>
      <c r="E1811" s="378">
        <v>0</v>
      </c>
      <c r="F1811" s="379">
        <v>0</v>
      </c>
      <c r="G1811" s="380">
        <v>0</v>
      </c>
      <c r="H1811" s="381">
        <v>45.32</v>
      </c>
      <c r="I1811" s="381">
        <f t="shared" ref="I1811:I1818" si="614">IF(ISBLANK(H1811),"",SUM(G1811:H1811))</f>
        <v>45.32</v>
      </c>
      <c r="J1811" s="382">
        <f t="shared" si="608"/>
        <v>57.47</v>
      </c>
      <c r="K1811" s="383" t="s">
        <v>23</v>
      </c>
      <c r="L1811" s="152">
        <v>0</v>
      </c>
      <c r="M1811" s="384"/>
      <c r="N1811" s="385">
        <f t="shared" si="609"/>
        <v>0</v>
      </c>
      <c r="O1811" s="385">
        <f t="shared" si="610"/>
        <v>0</v>
      </c>
      <c r="P1811" s="386"/>
      <c r="Q1811" s="384">
        <f t="shared" si="611"/>
        <v>0</v>
      </c>
      <c r="R1811" s="384">
        <f t="shared" si="611"/>
        <v>0</v>
      </c>
      <c r="S1811" s="385">
        <f t="shared" si="612"/>
        <v>0</v>
      </c>
      <c r="T1811" s="387">
        <f t="shared" si="613"/>
        <v>0</v>
      </c>
      <c r="U1811" s="386"/>
      <c r="V1811" s="388"/>
      <c r="W1811" s="389" t="str">
        <f t="shared" si="597"/>
        <v/>
      </c>
      <c r="X1811" s="389" t="str">
        <f t="shared" si="607"/>
        <v/>
      </c>
      <c r="Y1811" s="389" t="str">
        <f t="shared" si="606"/>
        <v/>
      </c>
    </row>
    <row r="1812" spans="1:25" s="390" customFormat="1" ht="25.5" hidden="1">
      <c r="A1812" s="375" t="s">
        <v>1005</v>
      </c>
      <c r="B1812" s="376" t="s">
        <v>241</v>
      </c>
      <c r="C1812" s="377" t="s">
        <v>1008</v>
      </c>
      <c r="D1812" s="415"/>
      <c r="E1812" s="378">
        <v>0</v>
      </c>
      <c r="F1812" s="379"/>
      <c r="G1812" s="380"/>
      <c r="H1812" s="381">
        <v>45.32</v>
      </c>
      <c r="I1812" s="381">
        <f t="shared" si="614"/>
        <v>45.32</v>
      </c>
      <c r="J1812" s="382">
        <f t="shared" si="608"/>
        <v>57.47</v>
      </c>
      <c r="K1812" s="383" t="s">
        <v>23</v>
      </c>
      <c r="L1812" s="152">
        <v>0</v>
      </c>
      <c r="M1812" s="384"/>
      <c r="N1812" s="385">
        <f t="shared" si="609"/>
        <v>0</v>
      </c>
      <c r="O1812" s="385">
        <f t="shared" si="610"/>
        <v>0</v>
      </c>
      <c r="P1812" s="386"/>
      <c r="Q1812" s="384">
        <f t="shared" si="611"/>
        <v>0</v>
      </c>
      <c r="R1812" s="384">
        <f t="shared" si="611"/>
        <v>0</v>
      </c>
      <c r="S1812" s="385">
        <f t="shared" si="612"/>
        <v>0</v>
      </c>
      <c r="T1812" s="387">
        <f t="shared" si="613"/>
        <v>0</v>
      </c>
      <c r="U1812" s="386"/>
      <c r="V1812" s="388"/>
      <c r="W1812" s="389" t="str">
        <f t="shared" si="597"/>
        <v/>
      </c>
      <c r="X1812" s="389" t="str">
        <f t="shared" si="607"/>
        <v/>
      </c>
      <c r="Y1812" s="389" t="str">
        <f t="shared" si="606"/>
        <v/>
      </c>
    </row>
    <row r="1813" spans="1:25" s="390" customFormat="1" ht="25.5" hidden="1">
      <c r="A1813" s="375" t="s">
        <v>1005</v>
      </c>
      <c r="B1813" s="376" t="s">
        <v>241</v>
      </c>
      <c r="C1813" s="377" t="s">
        <v>1009</v>
      </c>
      <c r="D1813" s="415"/>
      <c r="E1813" s="378">
        <v>0</v>
      </c>
      <c r="F1813" s="379"/>
      <c r="G1813" s="380"/>
      <c r="H1813" s="381">
        <v>45.32</v>
      </c>
      <c r="I1813" s="381">
        <f t="shared" si="614"/>
        <v>45.32</v>
      </c>
      <c r="J1813" s="382">
        <f t="shared" si="608"/>
        <v>57.47</v>
      </c>
      <c r="K1813" s="383" t="s">
        <v>23</v>
      </c>
      <c r="L1813" s="152">
        <v>0</v>
      </c>
      <c r="M1813" s="384"/>
      <c r="N1813" s="385">
        <f t="shared" si="609"/>
        <v>0</v>
      </c>
      <c r="O1813" s="385">
        <f t="shared" si="610"/>
        <v>0</v>
      </c>
      <c r="P1813" s="386"/>
      <c r="Q1813" s="384">
        <f t="shared" si="611"/>
        <v>0</v>
      </c>
      <c r="R1813" s="384">
        <f t="shared" si="611"/>
        <v>0</v>
      </c>
      <c r="S1813" s="385">
        <f t="shared" si="612"/>
        <v>0</v>
      </c>
      <c r="T1813" s="387">
        <f t="shared" si="613"/>
        <v>0</v>
      </c>
      <c r="U1813" s="386"/>
      <c r="V1813" s="388"/>
      <c r="W1813" s="389" t="str">
        <f t="shared" si="597"/>
        <v/>
      </c>
      <c r="X1813" s="389" t="str">
        <f t="shared" si="607"/>
        <v/>
      </c>
      <c r="Y1813" s="389" t="str">
        <f t="shared" si="606"/>
        <v/>
      </c>
    </row>
    <row r="1814" spans="1:25" s="390" customFormat="1" hidden="1">
      <c r="A1814" s="375" t="s">
        <v>1010</v>
      </c>
      <c r="B1814" s="376" t="s">
        <v>241</v>
      </c>
      <c r="C1814" s="377" t="s">
        <v>1011</v>
      </c>
      <c r="D1814" s="415"/>
      <c r="E1814" s="378"/>
      <c r="F1814" s="379"/>
      <c r="G1814" s="380"/>
      <c r="H1814" s="381">
        <v>64.739999999999995</v>
      </c>
      <c r="I1814" s="381">
        <f t="shared" si="614"/>
        <v>64.739999999999995</v>
      </c>
      <c r="J1814" s="382">
        <f t="shared" si="608"/>
        <v>82.09</v>
      </c>
      <c r="K1814" s="383" t="s">
        <v>23</v>
      </c>
      <c r="L1814" s="152">
        <v>0</v>
      </c>
      <c r="M1814" s="384"/>
      <c r="N1814" s="385">
        <f t="shared" si="609"/>
        <v>0</v>
      </c>
      <c r="O1814" s="385">
        <f t="shared" si="610"/>
        <v>0</v>
      </c>
      <c r="P1814" s="386"/>
      <c r="Q1814" s="384">
        <f t="shared" si="611"/>
        <v>0</v>
      </c>
      <c r="R1814" s="384">
        <f t="shared" si="611"/>
        <v>0</v>
      </c>
      <c r="S1814" s="385">
        <f t="shared" si="612"/>
        <v>0</v>
      </c>
      <c r="T1814" s="387">
        <f t="shared" si="613"/>
        <v>0</v>
      </c>
      <c r="U1814" s="386"/>
      <c r="V1814" s="388"/>
      <c r="W1814" s="389" t="str">
        <f t="shared" si="597"/>
        <v/>
      </c>
      <c r="X1814" s="389" t="str">
        <f t="shared" si="607"/>
        <v/>
      </c>
      <c r="Y1814" s="389" t="str">
        <f t="shared" si="606"/>
        <v/>
      </c>
    </row>
    <row r="1815" spans="1:25" s="390" customFormat="1" hidden="1">
      <c r="A1815" s="375" t="s">
        <v>1012</v>
      </c>
      <c r="B1815" s="376" t="s">
        <v>241</v>
      </c>
      <c r="C1815" s="391" t="s">
        <v>1013</v>
      </c>
      <c r="D1815" s="415"/>
      <c r="E1815" s="378"/>
      <c r="F1815" s="379"/>
      <c r="G1815" s="380"/>
      <c r="H1815" s="381">
        <v>45.32</v>
      </c>
      <c r="I1815" s="381">
        <f t="shared" si="614"/>
        <v>45.32</v>
      </c>
      <c r="J1815" s="382">
        <f t="shared" si="608"/>
        <v>57.47</v>
      </c>
      <c r="K1815" s="383" t="s">
        <v>23</v>
      </c>
      <c r="L1815" s="152">
        <v>0</v>
      </c>
      <c r="M1815" s="384"/>
      <c r="N1815" s="385">
        <f t="shared" si="609"/>
        <v>0</v>
      </c>
      <c r="O1815" s="385">
        <f t="shared" si="610"/>
        <v>0</v>
      </c>
      <c r="P1815" s="386"/>
      <c r="Q1815" s="384">
        <f t="shared" si="611"/>
        <v>0</v>
      </c>
      <c r="R1815" s="384">
        <f t="shared" si="611"/>
        <v>0</v>
      </c>
      <c r="S1815" s="385">
        <f t="shared" si="612"/>
        <v>0</v>
      </c>
      <c r="T1815" s="387">
        <f t="shared" si="613"/>
        <v>0</v>
      </c>
      <c r="U1815" s="386"/>
      <c r="V1815" s="388"/>
      <c r="W1815" s="389" t="str">
        <f t="shared" si="597"/>
        <v/>
      </c>
      <c r="X1815" s="389" t="str">
        <f t="shared" si="607"/>
        <v/>
      </c>
      <c r="Y1815" s="389" t="str">
        <f t="shared" si="606"/>
        <v/>
      </c>
    </row>
    <row r="1816" spans="1:25" s="390" customFormat="1" hidden="1">
      <c r="A1816" s="375" t="s">
        <v>1014</v>
      </c>
      <c r="B1816" s="376" t="s">
        <v>241</v>
      </c>
      <c r="C1816" s="391" t="s">
        <v>1015</v>
      </c>
      <c r="D1816" s="415"/>
      <c r="E1816" s="378"/>
      <c r="F1816" s="379"/>
      <c r="G1816" s="380"/>
      <c r="H1816" s="381">
        <v>32.369999999999997</v>
      </c>
      <c r="I1816" s="381">
        <f t="shared" si="614"/>
        <v>32.369999999999997</v>
      </c>
      <c r="J1816" s="382">
        <f t="shared" si="608"/>
        <v>41.05</v>
      </c>
      <c r="K1816" s="383" t="s">
        <v>23</v>
      </c>
      <c r="L1816" s="152">
        <v>0</v>
      </c>
      <c r="M1816" s="384"/>
      <c r="N1816" s="385">
        <f t="shared" si="609"/>
        <v>0</v>
      </c>
      <c r="O1816" s="385">
        <f t="shared" si="610"/>
        <v>0</v>
      </c>
      <c r="P1816" s="386"/>
      <c r="Q1816" s="384">
        <f t="shared" si="611"/>
        <v>0</v>
      </c>
      <c r="R1816" s="384">
        <f t="shared" si="611"/>
        <v>0</v>
      </c>
      <c r="S1816" s="385">
        <f t="shared" si="612"/>
        <v>0</v>
      </c>
      <c r="T1816" s="387">
        <f t="shared" si="613"/>
        <v>0</v>
      </c>
      <c r="U1816" s="386"/>
      <c r="V1816" s="388"/>
      <c r="W1816" s="389" t="str">
        <f t="shared" si="597"/>
        <v/>
      </c>
      <c r="X1816" s="389" t="str">
        <f t="shared" si="607"/>
        <v/>
      </c>
      <c r="Y1816" s="389" t="str">
        <f t="shared" si="606"/>
        <v/>
      </c>
    </row>
    <row r="1817" spans="1:25" s="390" customFormat="1">
      <c r="A1817" s="375" t="s">
        <v>1016</v>
      </c>
      <c r="B1817" s="376" t="s">
        <v>241</v>
      </c>
      <c r="C1817" s="391" t="s">
        <v>1017</v>
      </c>
      <c r="D1817" s="415"/>
      <c r="E1817" s="378"/>
      <c r="F1817" s="379"/>
      <c r="G1817" s="380"/>
      <c r="H1817" s="381">
        <v>97.11</v>
      </c>
      <c r="I1817" s="381">
        <f t="shared" si="614"/>
        <v>97.11</v>
      </c>
      <c r="J1817" s="382">
        <f t="shared" si="608"/>
        <v>123.14</v>
      </c>
      <c r="K1817" s="383" t="s">
        <v>23</v>
      </c>
      <c r="L1817" s="152">
        <v>11</v>
      </c>
      <c r="M1817" s="152">
        <f>J1817</f>
        <v>123.14</v>
      </c>
      <c r="N1817" s="385">
        <f t="shared" si="609"/>
        <v>1354.54</v>
      </c>
      <c r="O1817" s="385">
        <f t="shared" si="610"/>
        <v>1354.54</v>
      </c>
      <c r="P1817" s="386"/>
      <c r="Q1817" s="384">
        <f t="shared" si="611"/>
        <v>11</v>
      </c>
      <c r="R1817" s="384">
        <f t="shared" si="611"/>
        <v>123.14</v>
      </c>
      <c r="S1817" s="385">
        <f t="shared" si="612"/>
        <v>1354.54</v>
      </c>
      <c r="T1817" s="387">
        <f t="shared" si="613"/>
        <v>1354.54</v>
      </c>
      <c r="U1817" s="386"/>
      <c r="V1817" s="388" t="s">
        <v>200</v>
      </c>
      <c r="W1817" s="389" t="str">
        <f t="shared" si="597"/>
        <v>x</v>
      </c>
      <c r="X1817" s="389" t="str">
        <f t="shared" si="607"/>
        <v>x</v>
      </c>
      <c r="Y1817" s="389" t="str">
        <f t="shared" si="606"/>
        <v>x</v>
      </c>
    </row>
    <row r="1818" spans="1:25" s="390" customFormat="1">
      <c r="A1818" s="375" t="s">
        <v>1018</v>
      </c>
      <c r="B1818" s="376" t="s">
        <v>241</v>
      </c>
      <c r="C1818" s="377" t="s">
        <v>1019</v>
      </c>
      <c r="D1818" s="415"/>
      <c r="E1818" s="378"/>
      <c r="F1818" s="379"/>
      <c r="G1818" s="380"/>
      <c r="H1818" s="381">
        <v>58.26</v>
      </c>
      <c r="I1818" s="381">
        <f t="shared" si="614"/>
        <v>58.26</v>
      </c>
      <c r="J1818" s="382">
        <f t="shared" si="608"/>
        <v>73.87</v>
      </c>
      <c r="K1818" s="383" t="s">
        <v>23</v>
      </c>
      <c r="L1818" s="152">
        <v>11</v>
      </c>
      <c r="M1818" s="152">
        <f>J1818</f>
        <v>73.87</v>
      </c>
      <c r="N1818" s="385">
        <f t="shared" si="609"/>
        <v>812.57</v>
      </c>
      <c r="O1818" s="385">
        <f t="shared" si="610"/>
        <v>812.57</v>
      </c>
      <c r="P1818" s="386"/>
      <c r="Q1818" s="384">
        <f t="shared" si="611"/>
        <v>11</v>
      </c>
      <c r="R1818" s="384">
        <f t="shared" si="611"/>
        <v>73.87</v>
      </c>
      <c r="S1818" s="385">
        <f t="shared" si="612"/>
        <v>812.57</v>
      </c>
      <c r="T1818" s="387">
        <f t="shared" si="613"/>
        <v>812.57</v>
      </c>
      <c r="U1818" s="386"/>
      <c r="V1818" s="388" t="s">
        <v>200</v>
      </c>
      <c r="W1818" s="389" t="str">
        <f t="shared" si="597"/>
        <v>x</v>
      </c>
      <c r="X1818" s="389" t="str">
        <f t="shared" si="607"/>
        <v>x</v>
      </c>
      <c r="Y1818" s="389" t="str">
        <f t="shared" si="606"/>
        <v>x</v>
      </c>
    </row>
    <row r="1819" spans="1:25" s="390" customFormat="1">
      <c r="A1819" s="375" t="s">
        <v>1020</v>
      </c>
      <c r="B1819" s="376" t="s">
        <v>241</v>
      </c>
      <c r="C1819" s="377" t="s">
        <v>1021</v>
      </c>
      <c r="D1819" s="415"/>
      <c r="E1819" s="378"/>
      <c r="F1819" s="379"/>
      <c r="G1819" s="380"/>
      <c r="H1819" s="381">
        <v>47.48</v>
      </c>
      <c r="I1819" s="381">
        <f t="shared" ref="I1819" si="615">IF(ISBLANK(H1819),"",SUM(G1819:H1819))</f>
        <v>47.48</v>
      </c>
      <c r="J1819" s="382">
        <f t="shared" si="608"/>
        <v>60.2</v>
      </c>
      <c r="K1819" s="383" t="s">
        <v>23</v>
      </c>
      <c r="L1819" s="152">
        <v>11</v>
      </c>
      <c r="M1819" s="152">
        <f>J1819</f>
        <v>60.2</v>
      </c>
      <c r="N1819" s="385">
        <f t="shared" si="609"/>
        <v>662.2</v>
      </c>
      <c r="O1819" s="385">
        <f t="shared" si="610"/>
        <v>662.2</v>
      </c>
      <c r="P1819" s="386"/>
      <c r="Q1819" s="384">
        <f t="shared" si="611"/>
        <v>11</v>
      </c>
      <c r="R1819" s="384">
        <f t="shared" si="611"/>
        <v>60.2</v>
      </c>
      <c r="S1819" s="385">
        <f t="shared" si="612"/>
        <v>662.2</v>
      </c>
      <c r="T1819" s="387">
        <f t="shared" si="613"/>
        <v>662.2</v>
      </c>
      <c r="U1819" s="386"/>
      <c r="V1819" s="388" t="s">
        <v>200</v>
      </c>
      <c r="W1819" s="389" t="str">
        <f t="shared" si="597"/>
        <v>x</v>
      </c>
      <c r="X1819" s="389" t="str">
        <f t="shared" si="607"/>
        <v>x</v>
      </c>
      <c r="Y1819" s="389" t="str">
        <f t="shared" si="606"/>
        <v>x</v>
      </c>
    </row>
    <row r="1820" spans="1:25" s="390" customFormat="1">
      <c r="A1820" s="395" t="s">
        <v>217</v>
      </c>
      <c r="B1820" s="376" t="s">
        <v>1024</v>
      </c>
      <c r="C1820" s="377" t="s">
        <v>1027</v>
      </c>
      <c r="D1820" s="415"/>
      <c r="E1820" s="378"/>
      <c r="F1820" s="379"/>
      <c r="G1820" s="380"/>
      <c r="H1820" s="381">
        <v>32.123076923076923</v>
      </c>
      <c r="I1820" s="381">
        <v>32.123076923076923</v>
      </c>
      <c r="J1820" s="382">
        <f t="shared" si="608"/>
        <v>40.729999999999997</v>
      </c>
      <c r="K1820" s="383" t="s">
        <v>23</v>
      </c>
      <c r="L1820" s="152">
        <v>11</v>
      </c>
      <c r="M1820" s="152">
        <f>J1820</f>
        <v>40.729999999999997</v>
      </c>
      <c r="N1820" s="385">
        <f t="shared" si="609"/>
        <v>448.03</v>
      </c>
      <c r="O1820" s="385">
        <f t="shared" si="610"/>
        <v>448.03</v>
      </c>
      <c r="P1820" s="386"/>
      <c r="Q1820" s="384">
        <f t="shared" si="611"/>
        <v>11</v>
      </c>
      <c r="R1820" s="384">
        <f t="shared" si="611"/>
        <v>40.729999999999997</v>
      </c>
      <c r="S1820" s="385">
        <f t="shared" si="612"/>
        <v>448.03</v>
      </c>
      <c r="T1820" s="387">
        <f t="shared" si="613"/>
        <v>448.03</v>
      </c>
      <c r="U1820" s="386"/>
      <c r="V1820" s="388" t="s">
        <v>200</v>
      </c>
      <c r="W1820" s="389" t="str">
        <f t="shared" si="597"/>
        <v>x</v>
      </c>
      <c r="X1820" s="389" t="str">
        <f t="shared" si="607"/>
        <v>x</v>
      </c>
      <c r="Y1820" s="389" t="str">
        <f t="shared" si="606"/>
        <v>x</v>
      </c>
    </row>
    <row r="1821" spans="1:25" s="390" customFormat="1" ht="26.25" thickBot="1">
      <c r="A1821" s="375">
        <v>72872</v>
      </c>
      <c r="B1821" s="376" t="s">
        <v>241</v>
      </c>
      <c r="C1821" s="377" t="s">
        <v>1028</v>
      </c>
      <c r="D1821" s="415"/>
      <c r="E1821" s="378"/>
      <c r="F1821" s="379">
        <v>5</v>
      </c>
      <c r="G1821" s="416">
        <f>IF(E1821&lt;=30,(0.6*E1821+1.25)*F1821,((0.6*30+1.25)+0.5*(E1821-30))*F1821)</f>
        <v>6.25</v>
      </c>
      <c r="H1821" s="381">
        <v>2369.65</v>
      </c>
      <c r="I1821" s="381">
        <v>2369.65</v>
      </c>
      <c r="J1821" s="382">
        <f t="shared" si="608"/>
        <v>3004.72</v>
      </c>
      <c r="K1821" s="383" t="s">
        <v>1023</v>
      </c>
      <c r="L1821" s="384">
        <v>1</v>
      </c>
      <c r="M1821" s="384">
        <f>J1821</f>
        <v>3004.72</v>
      </c>
      <c r="N1821" s="385">
        <f t="shared" si="609"/>
        <v>3004.72</v>
      </c>
      <c r="O1821" s="385">
        <f t="shared" si="610"/>
        <v>3004.72</v>
      </c>
      <c r="P1821" s="386"/>
      <c r="Q1821" s="384">
        <f t="shared" si="611"/>
        <v>1</v>
      </c>
      <c r="R1821" s="384">
        <f t="shared" si="611"/>
        <v>3004.72</v>
      </c>
      <c r="S1821" s="385">
        <f t="shared" si="612"/>
        <v>3004.72</v>
      </c>
      <c r="T1821" s="387">
        <f t="shared" si="613"/>
        <v>3004.72</v>
      </c>
      <c r="U1821" s="386"/>
      <c r="V1821" s="388" t="s">
        <v>200</v>
      </c>
      <c r="W1821" s="389" t="str">
        <f t="shared" si="597"/>
        <v>x</v>
      </c>
      <c r="X1821" s="389" t="str">
        <f t="shared" si="607"/>
        <v>x</v>
      </c>
      <c r="Y1821" s="389" t="str">
        <f t="shared" si="606"/>
        <v>x</v>
      </c>
    </row>
    <row r="1822" spans="1:25" ht="13.5" hidden="1" thickBot="1">
      <c r="A1822" s="400" t="s">
        <v>217</v>
      </c>
      <c r="B1822" s="206"/>
      <c r="C1822" s="344" t="s">
        <v>1022</v>
      </c>
      <c r="D1822" s="185"/>
      <c r="E1822" s="207"/>
      <c r="F1822" s="208"/>
      <c r="G1822" s="209"/>
      <c r="H1822" s="210"/>
      <c r="I1822" s="210"/>
      <c r="J1822" s="210"/>
      <c r="K1822" s="210" t="s">
        <v>1029</v>
      </c>
      <c r="L1822" s="152">
        <v>0</v>
      </c>
      <c r="M1822" s="210"/>
      <c r="N1822" s="210"/>
      <c r="O1822" s="211"/>
      <c r="P1822" s="403"/>
      <c r="Q1822" s="209"/>
      <c r="R1822" s="210"/>
      <c r="S1822" s="210"/>
      <c r="T1822" s="211"/>
      <c r="U1822" s="403"/>
      <c r="V1822" s="144" t="str">
        <f>IF(OR(SUM(O1823:O1854)&gt;0,SUM(T1823:T1854)&gt;0),"y","")</f>
        <v/>
      </c>
      <c r="W1822" s="43" t="str">
        <f t="shared" si="597"/>
        <v/>
      </c>
      <c r="X1822" s="43" t="str">
        <f t="shared" si="607"/>
        <v/>
      </c>
      <c r="Y1822" s="43" t="str">
        <f t="shared" si="606"/>
        <v/>
      </c>
    </row>
    <row r="1823" spans="1:25" ht="13.5" hidden="1" thickBot="1">
      <c r="A1823" s="397" t="s">
        <v>217</v>
      </c>
      <c r="B1823" s="165" t="s">
        <v>217</v>
      </c>
      <c r="C1823" s="203"/>
      <c r="D1823" s="167"/>
      <c r="E1823" s="168"/>
      <c r="F1823" s="169"/>
      <c r="G1823" s="170"/>
      <c r="H1823" s="171"/>
      <c r="I1823" s="452"/>
      <c r="J1823" s="453">
        <f t="shared" ref="J1823:J1853" si="616">IF(ISBLANK(I1823),0,ROUND(I1823*(1+$E$10)*(1+$E$11*D1823),2))</f>
        <v>0</v>
      </c>
      <c r="K1823" s="392" t="s">
        <v>1029</v>
      </c>
      <c r="L1823" s="152">
        <v>0</v>
      </c>
      <c r="M1823" s="204"/>
      <c r="N1823" s="402">
        <f t="shared" ref="N1823" si="617">IF(ISBLANK(L1823),0,ROUND(J1823*L1823,2))</f>
        <v>0</v>
      </c>
      <c r="O1823" s="404">
        <f t="shared" ref="O1823:O1853" si="618">IF(ISBLANK(M1823),0,ROUND(L1823*M1823,2))</f>
        <v>0</v>
      </c>
      <c r="P1823" s="403"/>
      <c r="Q1823" s="205">
        <f t="shared" ref="Q1823:R1853" si="619">L1823</f>
        <v>0</v>
      </c>
      <c r="R1823" s="204">
        <f t="shared" si="619"/>
        <v>0</v>
      </c>
      <c r="S1823" s="402">
        <f t="shared" ref="S1823:S1853" si="620">IF(ISBLANK(Q1823),0,ROUND(J1823*Q1823,2))</f>
        <v>0</v>
      </c>
      <c r="T1823" s="404">
        <f t="shared" ref="T1823:T1853" si="621">IF(ISBLANK(Q1823),0,ROUND(Q1823*R1823,2))</f>
        <v>0</v>
      </c>
      <c r="U1823" s="403"/>
      <c r="W1823" s="43" t="str">
        <f t="shared" si="597"/>
        <v/>
      </c>
      <c r="X1823" s="43" t="str">
        <f t="shared" si="607"/>
        <v/>
      </c>
      <c r="Y1823" s="43" t="str">
        <f t="shared" si="606"/>
        <v/>
      </c>
    </row>
    <row r="1824" spans="1:25" ht="13.5" hidden="1" thickBot="1">
      <c r="A1824" s="397" t="s">
        <v>217</v>
      </c>
      <c r="B1824" s="165" t="s">
        <v>217</v>
      </c>
      <c r="C1824" s="184"/>
      <c r="D1824" s="167"/>
      <c r="E1824" s="168"/>
      <c r="F1824" s="169"/>
      <c r="G1824" s="170"/>
      <c r="H1824" s="171"/>
      <c r="I1824" s="452"/>
      <c r="J1824" s="454">
        <f t="shared" si="616"/>
        <v>0</v>
      </c>
      <c r="K1824" s="392" t="s">
        <v>1029</v>
      </c>
      <c r="L1824" s="152">
        <v>0</v>
      </c>
      <c r="M1824" s="152"/>
      <c r="N1824" s="402">
        <f>IF(ISBLANK(L1824),0,ROUND(J1824*L1824,2))</f>
        <v>0</v>
      </c>
      <c r="O1824" s="402">
        <f t="shared" si="618"/>
        <v>0</v>
      </c>
      <c r="P1824" s="403"/>
      <c r="Q1824" s="152">
        <f t="shared" si="619"/>
        <v>0</v>
      </c>
      <c r="R1824" s="152">
        <f t="shared" si="619"/>
        <v>0</v>
      </c>
      <c r="S1824" s="402">
        <f t="shared" si="620"/>
        <v>0</v>
      </c>
      <c r="T1824" s="164">
        <f t="shared" si="621"/>
        <v>0</v>
      </c>
      <c r="U1824" s="403"/>
      <c r="W1824" s="43" t="str">
        <f t="shared" si="597"/>
        <v/>
      </c>
      <c r="X1824" s="43" t="str">
        <f t="shared" si="607"/>
        <v/>
      </c>
      <c r="Y1824" s="43" t="str">
        <f t="shared" si="606"/>
        <v/>
      </c>
    </row>
    <row r="1825" spans="1:25" ht="13.5" hidden="1" thickBot="1">
      <c r="A1825" s="397" t="s">
        <v>217</v>
      </c>
      <c r="B1825" s="165" t="s">
        <v>217</v>
      </c>
      <c r="C1825" s="184"/>
      <c r="D1825" s="167"/>
      <c r="E1825" s="168"/>
      <c r="F1825" s="169"/>
      <c r="G1825" s="170"/>
      <c r="H1825" s="171"/>
      <c r="I1825" s="452"/>
      <c r="J1825" s="454">
        <f t="shared" si="616"/>
        <v>0</v>
      </c>
      <c r="K1825" s="392" t="s">
        <v>1029</v>
      </c>
      <c r="L1825" s="152">
        <v>0</v>
      </c>
      <c r="M1825" s="152"/>
      <c r="N1825" s="402">
        <f t="shared" ref="N1825:N1853" si="622">IF(ISBLANK(L1825),0,ROUND(J1825*L1825,2))</f>
        <v>0</v>
      </c>
      <c r="O1825" s="402">
        <f t="shared" si="618"/>
        <v>0</v>
      </c>
      <c r="P1825" s="403"/>
      <c r="Q1825" s="152">
        <f t="shared" si="619"/>
        <v>0</v>
      </c>
      <c r="R1825" s="152">
        <f t="shared" si="619"/>
        <v>0</v>
      </c>
      <c r="S1825" s="402">
        <f t="shared" si="620"/>
        <v>0</v>
      </c>
      <c r="T1825" s="404">
        <f t="shared" si="621"/>
        <v>0</v>
      </c>
      <c r="U1825" s="403"/>
      <c r="W1825" s="43" t="str">
        <f t="shared" si="597"/>
        <v/>
      </c>
      <c r="X1825" s="43" t="str">
        <f t="shared" si="607"/>
        <v/>
      </c>
      <c r="Y1825" s="43" t="str">
        <f t="shared" si="606"/>
        <v/>
      </c>
    </row>
    <row r="1826" spans="1:25" ht="13.5" hidden="1" thickBot="1">
      <c r="A1826" s="397" t="s">
        <v>217</v>
      </c>
      <c r="B1826" s="165" t="s">
        <v>217</v>
      </c>
      <c r="C1826" s="184"/>
      <c r="D1826" s="167"/>
      <c r="E1826" s="168"/>
      <c r="F1826" s="169"/>
      <c r="G1826" s="170"/>
      <c r="H1826" s="171"/>
      <c r="I1826" s="452"/>
      <c r="J1826" s="454">
        <f t="shared" si="616"/>
        <v>0</v>
      </c>
      <c r="K1826" s="392" t="s">
        <v>1029</v>
      </c>
      <c r="L1826" s="152">
        <v>0</v>
      </c>
      <c r="M1826" s="152"/>
      <c r="N1826" s="402">
        <f t="shared" si="622"/>
        <v>0</v>
      </c>
      <c r="O1826" s="402">
        <f t="shared" si="618"/>
        <v>0</v>
      </c>
      <c r="P1826" s="403"/>
      <c r="Q1826" s="152">
        <f t="shared" si="619"/>
        <v>0</v>
      </c>
      <c r="R1826" s="152">
        <f t="shared" si="619"/>
        <v>0</v>
      </c>
      <c r="S1826" s="402">
        <f t="shared" si="620"/>
        <v>0</v>
      </c>
      <c r="T1826" s="404">
        <f t="shared" si="621"/>
        <v>0</v>
      </c>
      <c r="U1826" s="403"/>
      <c r="W1826" s="43" t="str">
        <f t="shared" si="597"/>
        <v/>
      </c>
      <c r="X1826" s="43" t="str">
        <f t="shared" si="607"/>
        <v/>
      </c>
      <c r="Y1826" s="43" t="str">
        <f t="shared" si="606"/>
        <v/>
      </c>
    </row>
    <row r="1827" spans="1:25" ht="13.5" hidden="1" thickBot="1">
      <c r="A1827" s="397" t="s">
        <v>217</v>
      </c>
      <c r="B1827" s="165" t="s">
        <v>217</v>
      </c>
      <c r="C1827" s="184"/>
      <c r="D1827" s="167"/>
      <c r="E1827" s="168"/>
      <c r="F1827" s="169"/>
      <c r="G1827" s="170"/>
      <c r="H1827" s="171"/>
      <c r="I1827" s="452"/>
      <c r="J1827" s="454">
        <f t="shared" si="616"/>
        <v>0</v>
      </c>
      <c r="K1827" s="392" t="s">
        <v>1029</v>
      </c>
      <c r="L1827" s="152">
        <v>0</v>
      </c>
      <c r="M1827" s="152"/>
      <c r="N1827" s="402">
        <f t="shared" si="622"/>
        <v>0</v>
      </c>
      <c r="O1827" s="402">
        <f t="shared" si="618"/>
        <v>0</v>
      </c>
      <c r="P1827" s="403"/>
      <c r="Q1827" s="152">
        <f t="shared" si="619"/>
        <v>0</v>
      </c>
      <c r="R1827" s="152">
        <f t="shared" si="619"/>
        <v>0</v>
      </c>
      <c r="S1827" s="402">
        <f t="shared" si="620"/>
        <v>0</v>
      </c>
      <c r="T1827" s="404">
        <f t="shared" si="621"/>
        <v>0</v>
      </c>
      <c r="U1827" s="403"/>
      <c r="W1827" s="43" t="str">
        <f t="shared" si="597"/>
        <v/>
      </c>
      <c r="X1827" s="43" t="str">
        <f t="shared" si="607"/>
        <v/>
      </c>
      <c r="Y1827" s="43" t="str">
        <f t="shared" si="606"/>
        <v/>
      </c>
    </row>
    <row r="1828" spans="1:25" ht="13.5" hidden="1" thickBot="1">
      <c r="A1828" s="397" t="s">
        <v>217</v>
      </c>
      <c r="B1828" s="165" t="s">
        <v>217</v>
      </c>
      <c r="C1828" s="184"/>
      <c r="D1828" s="167"/>
      <c r="E1828" s="168"/>
      <c r="F1828" s="169"/>
      <c r="G1828" s="170"/>
      <c r="H1828" s="171"/>
      <c r="I1828" s="452"/>
      <c r="J1828" s="454">
        <f t="shared" si="616"/>
        <v>0</v>
      </c>
      <c r="K1828" s="392" t="s">
        <v>1029</v>
      </c>
      <c r="L1828" s="152">
        <v>0</v>
      </c>
      <c r="M1828" s="152"/>
      <c r="N1828" s="402">
        <f t="shared" si="622"/>
        <v>0</v>
      </c>
      <c r="O1828" s="402">
        <f t="shared" si="618"/>
        <v>0</v>
      </c>
      <c r="P1828" s="403"/>
      <c r="Q1828" s="152">
        <f t="shared" si="619"/>
        <v>0</v>
      </c>
      <c r="R1828" s="152">
        <f t="shared" si="619"/>
        <v>0</v>
      </c>
      <c r="S1828" s="402">
        <f t="shared" si="620"/>
        <v>0</v>
      </c>
      <c r="T1828" s="404">
        <f t="shared" si="621"/>
        <v>0</v>
      </c>
      <c r="U1828" s="403"/>
      <c r="W1828" s="43" t="str">
        <f t="shared" si="597"/>
        <v/>
      </c>
      <c r="X1828" s="43" t="str">
        <f t="shared" si="607"/>
        <v/>
      </c>
      <c r="Y1828" s="43" t="str">
        <f t="shared" si="606"/>
        <v/>
      </c>
    </row>
    <row r="1829" spans="1:25" ht="13.5" hidden="1" thickBot="1">
      <c r="A1829" s="397" t="s">
        <v>217</v>
      </c>
      <c r="B1829" s="165" t="s">
        <v>217</v>
      </c>
      <c r="C1829" s="184"/>
      <c r="D1829" s="167"/>
      <c r="E1829" s="168"/>
      <c r="F1829" s="169"/>
      <c r="G1829" s="170"/>
      <c r="H1829" s="171"/>
      <c r="I1829" s="452"/>
      <c r="J1829" s="454">
        <f t="shared" si="616"/>
        <v>0</v>
      </c>
      <c r="K1829" s="392" t="s">
        <v>1029</v>
      </c>
      <c r="L1829" s="152">
        <v>0</v>
      </c>
      <c r="M1829" s="152"/>
      <c r="N1829" s="402">
        <f t="shared" si="622"/>
        <v>0</v>
      </c>
      <c r="O1829" s="402">
        <f t="shared" si="618"/>
        <v>0</v>
      </c>
      <c r="P1829" s="403"/>
      <c r="Q1829" s="152">
        <f t="shared" si="619"/>
        <v>0</v>
      </c>
      <c r="R1829" s="152">
        <f t="shared" si="619"/>
        <v>0</v>
      </c>
      <c r="S1829" s="402">
        <f t="shared" si="620"/>
        <v>0</v>
      </c>
      <c r="T1829" s="404">
        <f t="shared" si="621"/>
        <v>0</v>
      </c>
      <c r="U1829" s="403"/>
      <c r="W1829" s="43" t="str">
        <f t="shared" si="597"/>
        <v/>
      </c>
      <c r="X1829" s="43" t="str">
        <f t="shared" si="607"/>
        <v/>
      </c>
      <c r="Y1829" s="43" t="str">
        <f t="shared" si="606"/>
        <v/>
      </c>
    </row>
    <row r="1830" spans="1:25" ht="13.5" hidden="1" thickBot="1">
      <c r="A1830" s="397" t="s">
        <v>217</v>
      </c>
      <c r="B1830" s="165" t="s">
        <v>217</v>
      </c>
      <c r="C1830" s="184"/>
      <c r="D1830" s="167"/>
      <c r="E1830" s="168"/>
      <c r="F1830" s="169"/>
      <c r="G1830" s="170"/>
      <c r="H1830" s="171"/>
      <c r="I1830" s="452"/>
      <c r="J1830" s="454">
        <f t="shared" si="616"/>
        <v>0</v>
      </c>
      <c r="K1830" s="392" t="s">
        <v>1029</v>
      </c>
      <c r="L1830" s="152">
        <v>0</v>
      </c>
      <c r="M1830" s="152"/>
      <c r="N1830" s="402">
        <f t="shared" si="622"/>
        <v>0</v>
      </c>
      <c r="O1830" s="402">
        <f t="shared" si="618"/>
        <v>0</v>
      </c>
      <c r="P1830" s="403"/>
      <c r="Q1830" s="152">
        <f t="shared" si="619"/>
        <v>0</v>
      </c>
      <c r="R1830" s="152">
        <f t="shared" si="619"/>
        <v>0</v>
      </c>
      <c r="S1830" s="402">
        <f t="shared" si="620"/>
        <v>0</v>
      </c>
      <c r="T1830" s="404">
        <f t="shared" si="621"/>
        <v>0</v>
      </c>
      <c r="U1830" s="403"/>
      <c r="W1830" s="43" t="str">
        <f t="shared" si="597"/>
        <v/>
      </c>
      <c r="X1830" s="43" t="str">
        <f t="shared" si="607"/>
        <v/>
      </c>
      <c r="Y1830" s="43" t="str">
        <f t="shared" si="606"/>
        <v/>
      </c>
    </row>
    <row r="1831" spans="1:25" ht="13.5" hidden="1" thickBot="1">
      <c r="A1831" s="397" t="s">
        <v>217</v>
      </c>
      <c r="B1831" s="165" t="s">
        <v>217</v>
      </c>
      <c r="C1831" s="184"/>
      <c r="D1831" s="167"/>
      <c r="E1831" s="168"/>
      <c r="F1831" s="169"/>
      <c r="G1831" s="170"/>
      <c r="H1831" s="171"/>
      <c r="I1831" s="452"/>
      <c r="J1831" s="454">
        <f t="shared" si="616"/>
        <v>0</v>
      </c>
      <c r="K1831" s="392" t="s">
        <v>1029</v>
      </c>
      <c r="L1831" s="152">
        <v>0</v>
      </c>
      <c r="M1831" s="152"/>
      <c r="N1831" s="402">
        <f t="shared" si="622"/>
        <v>0</v>
      </c>
      <c r="O1831" s="402">
        <f t="shared" si="618"/>
        <v>0</v>
      </c>
      <c r="P1831" s="403"/>
      <c r="Q1831" s="152">
        <f t="shared" si="619"/>
        <v>0</v>
      </c>
      <c r="R1831" s="152">
        <f t="shared" si="619"/>
        <v>0</v>
      </c>
      <c r="S1831" s="402">
        <f t="shared" si="620"/>
        <v>0</v>
      </c>
      <c r="T1831" s="404">
        <f t="shared" si="621"/>
        <v>0</v>
      </c>
      <c r="U1831" s="403"/>
      <c r="W1831" s="43" t="str">
        <f t="shared" si="597"/>
        <v/>
      </c>
      <c r="X1831" s="43" t="str">
        <f t="shared" si="607"/>
        <v/>
      </c>
      <c r="Y1831" s="43" t="str">
        <f t="shared" si="606"/>
        <v/>
      </c>
    </row>
    <row r="1832" spans="1:25" ht="13.5" hidden="1" thickBot="1">
      <c r="A1832" s="397" t="s">
        <v>217</v>
      </c>
      <c r="B1832" s="165" t="s">
        <v>217</v>
      </c>
      <c r="C1832" s="184"/>
      <c r="D1832" s="167"/>
      <c r="E1832" s="168"/>
      <c r="F1832" s="169"/>
      <c r="G1832" s="170"/>
      <c r="H1832" s="171"/>
      <c r="I1832" s="452"/>
      <c r="J1832" s="454">
        <f t="shared" si="616"/>
        <v>0</v>
      </c>
      <c r="K1832" s="392" t="s">
        <v>1029</v>
      </c>
      <c r="L1832" s="152">
        <v>0</v>
      </c>
      <c r="M1832" s="152"/>
      <c r="N1832" s="402">
        <f t="shared" si="622"/>
        <v>0</v>
      </c>
      <c r="O1832" s="402">
        <f t="shared" si="618"/>
        <v>0</v>
      </c>
      <c r="P1832" s="403"/>
      <c r="Q1832" s="152">
        <f t="shared" si="619"/>
        <v>0</v>
      </c>
      <c r="R1832" s="152">
        <f t="shared" si="619"/>
        <v>0</v>
      </c>
      <c r="S1832" s="402">
        <f t="shared" si="620"/>
        <v>0</v>
      </c>
      <c r="T1832" s="404">
        <f t="shared" si="621"/>
        <v>0</v>
      </c>
      <c r="U1832" s="403"/>
      <c r="W1832" s="43" t="str">
        <f t="shared" si="597"/>
        <v/>
      </c>
      <c r="X1832" s="43" t="str">
        <f t="shared" si="607"/>
        <v/>
      </c>
      <c r="Y1832" s="43" t="str">
        <f t="shared" si="606"/>
        <v/>
      </c>
    </row>
    <row r="1833" spans="1:25" ht="13.5" hidden="1" thickBot="1">
      <c r="A1833" s="397" t="s">
        <v>217</v>
      </c>
      <c r="B1833" s="165" t="s">
        <v>217</v>
      </c>
      <c r="C1833" s="184"/>
      <c r="D1833" s="167"/>
      <c r="E1833" s="168"/>
      <c r="F1833" s="169"/>
      <c r="G1833" s="170"/>
      <c r="H1833" s="171"/>
      <c r="I1833" s="452"/>
      <c r="J1833" s="454">
        <f t="shared" si="616"/>
        <v>0</v>
      </c>
      <c r="K1833" s="392" t="s">
        <v>1029</v>
      </c>
      <c r="L1833" s="152">
        <v>0</v>
      </c>
      <c r="M1833" s="152"/>
      <c r="N1833" s="402">
        <f t="shared" si="622"/>
        <v>0</v>
      </c>
      <c r="O1833" s="402">
        <f t="shared" si="618"/>
        <v>0</v>
      </c>
      <c r="P1833" s="403"/>
      <c r="Q1833" s="152">
        <f t="shared" si="619"/>
        <v>0</v>
      </c>
      <c r="R1833" s="152">
        <f t="shared" si="619"/>
        <v>0</v>
      </c>
      <c r="S1833" s="402">
        <f t="shared" si="620"/>
        <v>0</v>
      </c>
      <c r="T1833" s="404">
        <f t="shared" si="621"/>
        <v>0</v>
      </c>
      <c r="U1833" s="403"/>
      <c r="W1833" s="43" t="str">
        <f t="shared" si="597"/>
        <v/>
      </c>
      <c r="X1833" s="43" t="str">
        <f t="shared" si="607"/>
        <v/>
      </c>
      <c r="Y1833" s="43" t="str">
        <f t="shared" si="606"/>
        <v/>
      </c>
    </row>
    <row r="1834" spans="1:25" ht="13.5" hidden="1" thickBot="1">
      <c r="A1834" s="397" t="s">
        <v>217</v>
      </c>
      <c r="B1834" s="165" t="s">
        <v>217</v>
      </c>
      <c r="C1834" s="184"/>
      <c r="D1834" s="167"/>
      <c r="E1834" s="168"/>
      <c r="F1834" s="169"/>
      <c r="G1834" s="170"/>
      <c r="H1834" s="171"/>
      <c r="I1834" s="452"/>
      <c r="J1834" s="454">
        <f t="shared" si="616"/>
        <v>0</v>
      </c>
      <c r="K1834" s="392" t="s">
        <v>1029</v>
      </c>
      <c r="L1834" s="152">
        <v>0</v>
      </c>
      <c r="M1834" s="152"/>
      <c r="N1834" s="402">
        <f t="shared" si="622"/>
        <v>0</v>
      </c>
      <c r="O1834" s="402">
        <f t="shared" si="618"/>
        <v>0</v>
      </c>
      <c r="P1834" s="403"/>
      <c r="Q1834" s="152">
        <f t="shared" si="619"/>
        <v>0</v>
      </c>
      <c r="R1834" s="152">
        <f t="shared" si="619"/>
        <v>0</v>
      </c>
      <c r="S1834" s="402">
        <f t="shared" si="620"/>
        <v>0</v>
      </c>
      <c r="T1834" s="404">
        <f t="shared" si="621"/>
        <v>0</v>
      </c>
      <c r="U1834" s="403"/>
      <c r="W1834" s="43" t="str">
        <f t="shared" si="597"/>
        <v/>
      </c>
      <c r="X1834" s="43" t="str">
        <f t="shared" si="607"/>
        <v/>
      </c>
      <c r="Y1834" s="43" t="str">
        <f t="shared" si="606"/>
        <v/>
      </c>
    </row>
    <row r="1835" spans="1:25" ht="13.5" hidden="1" thickBot="1">
      <c r="A1835" s="397" t="s">
        <v>217</v>
      </c>
      <c r="B1835" s="165" t="s">
        <v>217</v>
      </c>
      <c r="C1835" s="184"/>
      <c r="D1835" s="167"/>
      <c r="E1835" s="168"/>
      <c r="F1835" s="169"/>
      <c r="G1835" s="170"/>
      <c r="H1835" s="171"/>
      <c r="I1835" s="452"/>
      <c r="J1835" s="454">
        <f t="shared" si="616"/>
        <v>0</v>
      </c>
      <c r="K1835" s="392" t="s">
        <v>1029</v>
      </c>
      <c r="L1835" s="152">
        <v>0</v>
      </c>
      <c r="M1835" s="152"/>
      <c r="N1835" s="402">
        <f t="shared" si="622"/>
        <v>0</v>
      </c>
      <c r="O1835" s="402">
        <f t="shared" si="618"/>
        <v>0</v>
      </c>
      <c r="P1835" s="403"/>
      <c r="Q1835" s="152">
        <f t="shared" si="619"/>
        <v>0</v>
      </c>
      <c r="R1835" s="152">
        <f t="shared" si="619"/>
        <v>0</v>
      </c>
      <c r="S1835" s="402">
        <f t="shared" si="620"/>
        <v>0</v>
      </c>
      <c r="T1835" s="404">
        <f t="shared" si="621"/>
        <v>0</v>
      </c>
      <c r="U1835" s="403"/>
      <c r="W1835" s="43" t="str">
        <f t="shared" si="597"/>
        <v/>
      </c>
      <c r="X1835" s="43" t="str">
        <f t="shared" si="607"/>
        <v/>
      </c>
      <c r="Y1835" s="43" t="str">
        <f t="shared" si="606"/>
        <v/>
      </c>
    </row>
    <row r="1836" spans="1:25" ht="13.5" hidden="1" thickBot="1">
      <c r="A1836" s="397" t="s">
        <v>217</v>
      </c>
      <c r="B1836" s="165" t="s">
        <v>217</v>
      </c>
      <c r="C1836" s="184"/>
      <c r="D1836" s="167"/>
      <c r="E1836" s="168"/>
      <c r="F1836" s="169"/>
      <c r="G1836" s="170"/>
      <c r="H1836" s="171"/>
      <c r="I1836" s="452"/>
      <c r="J1836" s="454">
        <f t="shared" si="616"/>
        <v>0</v>
      </c>
      <c r="K1836" s="392" t="s">
        <v>1029</v>
      </c>
      <c r="L1836" s="152">
        <v>0</v>
      </c>
      <c r="M1836" s="152"/>
      <c r="N1836" s="402">
        <f t="shared" si="622"/>
        <v>0</v>
      </c>
      <c r="O1836" s="402">
        <f t="shared" si="618"/>
        <v>0</v>
      </c>
      <c r="P1836" s="403"/>
      <c r="Q1836" s="152">
        <f t="shared" si="619"/>
        <v>0</v>
      </c>
      <c r="R1836" s="152">
        <f t="shared" si="619"/>
        <v>0</v>
      </c>
      <c r="S1836" s="402">
        <f t="shared" si="620"/>
        <v>0</v>
      </c>
      <c r="T1836" s="404">
        <f t="shared" si="621"/>
        <v>0</v>
      </c>
      <c r="U1836" s="403"/>
      <c r="W1836" s="43" t="str">
        <f t="shared" si="597"/>
        <v/>
      </c>
      <c r="X1836" s="43" t="str">
        <f t="shared" si="607"/>
        <v/>
      </c>
      <c r="Y1836" s="43" t="str">
        <f t="shared" si="606"/>
        <v/>
      </c>
    </row>
    <row r="1837" spans="1:25" ht="13.5" hidden="1" thickBot="1">
      <c r="A1837" s="397" t="s">
        <v>217</v>
      </c>
      <c r="B1837" s="165" t="s">
        <v>217</v>
      </c>
      <c r="C1837" s="184"/>
      <c r="D1837" s="167"/>
      <c r="E1837" s="168"/>
      <c r="F1837" s="169"/>
      <c r="G1837" s="170"/>
      <c r="H1837" s="171"/>
      <c r="I1837" s="452"/>
      <c r="J1837" s="454">
        <f t="shared" si="616"/>
        <v>0</v>
      </c>
      <c r="K1837" s="392" t="s">
        <v>1029</v>
      </c>
      <c r="L1837" s="152">
        <v>0</v>
      </c>
      <c r="M1837" s="152"/>
      <c r="N1837" s="402">
        <f t="shared" si="622"/>
        <v>0</v>
      </c>
      <c r="O1837" s="402">
        <f t="shared" si="618"/>
        <v>0</v>
      </c>
      <c r="P1837" s="403"/>
      <c r="Q1837" s="152">
        <f t="shared" si="619"/>
        <v>0</v>
      </c>
      <c r="R1837" s="152">
        <f t="shared" si="619"/>
        <v>0</v>
      </c>
      <c r="S1837" s="402">
        <f t="shared" si="620"/>
        <v>0</v>
      </c>
      <c r="T1837" s="404">
        <f t="shared" si="621"/>
        <v>0</v>
      </c>
      <c r="U1837" s="403"/>
      <c r="W1837" s="43" t="str">
        <f t="shared" ref="W1837:W1853" si="623">IF(V1837="X","x",IF(V1837="xx","x",IF(V1837="xy","x",IF(V1837="y","x",IF(OR(O1837&gt;0,T1837&gt;0),"x","")))))</f>
        <v/>
      </c>
      <c r="X1837" s="43" t="str">
        <f t="shared" si="607"/>
        <v/>
      </c>
      <c r="Y1837" s="43" t="str">
        <f t="shared" si="606"/>
        <v/>
      </c>
    </row>
    <row r="1838" spans="1:25" ht="13.5" hidden="1" thickBot="1">
      <c r="A1838" s="397" t="s">
        <v>217</v>
      </c>
      <c r="B1838" s="165" t="s">
        <v>217</v>
      </c>
      <c r="C1838" s="184"/>
      <c r="D1838" s="167"/>
      <c r="E1838" s="168"/>
      <c r="F1838" s="169"/>
      <c r="G1838" s="170"/>
      <c r="H1838" s="171"/>
      <c r="I1838" s="452"/>
      <c r="J1838" s="454">
        <f t="shared" si="616"/>
        <v>0</v>
      </c>
      <c r="K1838" s="392" t="s">
        <v>1029</v>
      </c>
      <c r="L1838" s="152">
        <v>0</v>
      </c>
      <c r="M1838" s="152"/>
      <c r="N1838" s="402">
        <f t="shared" si="622"/>
        <v>0</v>
      </c>
      <c r="O1838" s="402">
        <f t="shared" si="618"/>
        <v>0</v>
      </c>
      <c r="P1838" s="403"/>
      <c r="Q1838" s="152">
        <f t="shared" si="619"/>
        <v>0</v>
      </c>
      <c r="R1838" s="152">
        <f t="shared" si="619"/>
        <v>0</v>
      </c>
      <c r="S1838" s="402">
        <f t="shared" si="620"/>
        <v>0</v>
      </c>
      <c r="T1838" s="404">
        <f t="shared" si="621"/>
        <v>0</v>
      </c>
      <c r="U1838" s="403"/>
      <c r="W1838" s="43" t="str">
        <f t="shared" si="623"/>
        <v/>
      </c>
      <c r="X1838" s="43" t="str">
        <f t="shared" si="607"/>
        <v/>
      </c>
      <c r="Y1838" s="43" t="str">
        <f t="shared" si="606"/>
        <v/>
      </c>
    </row>
    <row r="1839" spans="1:25" ht="13.5" hidden="1" thickBot="1">
      <c r="A1839" s="397" t="s">
        <v>217</v>
      </c>
      <c r="B1839" s="165" t="s">
        <v>217</v>
      </c>
      <c r="C1839" s="184"/>
      <c r="D1839" s="167"/>
      <c r="E1839" s="168"/>
      <c r="F1839" s="169"/>
      <c r="G1839" s="170"/>
      <c r="H1839" s="171"/>
      <c r="I1839" s="452"/>
      <c r="J1839" s="454">
        <f t="shared" si="616"/>
        <v>0</v>
      </c>
      <c r="K1839" s="392" t="s">
        <v>1029</v>
      </c>
      <c r="L1839" s="152">
        <v>0</v>
      </c>
      <c r="M1839" s="152"/>
      <c r="N1839" s="402">
        <f t="shared" si="622"/>
        <v>0</v>
      </c>
      <c r="O1839" s="402">
        <f t="shared" si="618"/>
        <v>0</v>
      </c>
      <c r="P1839" s="403"/>
      <c r="Q1839" s="152">
        <f t="shared" si="619"/>
        <v>0</v>
      </c>
      <c r="R1839" s="152">
        <f t="shared" si="619"/>
        <v>0</v>
      </c>
      <c r="S1839" s="402">
        <f t="shared" si="620"/>
        <v>0</v>
      </c>
      <c r="T1839" s="404">
        <f t="shared" si="621"/>
        <v>0</v>
      </c>
      <c r="U1839" s="403"/>
      <c r="W1839" s="43" t="str">
        <f t="shared" si="623"/>
        <v/>
      </c>
      <c r="X1839" s="43" t="str">
        <f t="shared" si="607"/>
        <v/>
      </c>
      <c r="Y1839" s="43" t="str">
        <f t="shared" si="606"/>
        <v/>
      </c>
    </row>
    <row r="1840" spans="1:25" ht="13.5" hidden="1" thickBot="1">
      <c r="A1840" s="397" t="s">
        <v>217</v>
      </c>
      <c r="B1840" s="165" t="s">
        <v>217</v>
      </c>
      <c r="C1840" s="184"/>
      <c r="D1840" s="167"/>
      <c r="E1840" s="168"/>
      <c r="F1840" s="169"/>
      <c r="G1840" s="170"/>
      <c r="H1840" s="171"/>
      <c r="I1840" s="452"/>
      <c r="J1840" s="454">
        <f t="shared" si="616"/>
        <v>0</v>
      </c>
      <c r="K1840" s="392" t="s">
        <v>1029</v>
      </c>
      <c r="L1840" s="152">
        <v>0</v>
      </c>
      <c r="M1840" s="152"/>
      <c r="N1840" s="402">
        <f t="shared" si="622"/>
        <v>0</v>
      </c>
      <c r="O1840" s="402">
        <f t="shared" si="618"/>
        <v>0</v>
      </c>
      <c r="P1840" s="403"/>
      <c r="Q1840" s="152">
        <f t="shared" si="619"/>
        <v>0</v>
      </c>
      <c r="R1840" s="152">
        <f t="shared" si="619"/>
        <v>0</v>
      </c>
      <c r="S1840" s="402">
        <f t="shared" si="620"/>
        <v>0</v>
      </c>
      <c r="T1840" s="404">
        <f t="shared" si="621"/>
        <v>0</v>
      </c>
      <c r="U1840" s="403"/>
      <c r="W1840" s="43" t="str">
        <f t="shared" si="623"/>
        <v/>
      </c>
      <c r="X1840" s="43" t="str">
        <f t="shared" si="607"/>
        <v/>
      </c>
      <c r="Y1840" s="43" t="str">
        <f t="shared" si="606"/>
        <v/>
      </c>
    </row>
    <row r="1841" spans="1:25" ht="13.5" hidden="1" thickBot="1">
      <c r="A1841" s="397" t="s">
        <v>217</v>
      </c>
      <c r="B1841" s="165" t="s">
        <v>217</v>
      </c>
      <c r="C1841" s="184"/>
      <c r="D1841" s="167"/>
      <c r="E1841" s="168"/>
      <c r="F1841" s="169"/>
      <c r="G1841" s="170"/>
      <c r="H1841" s="171"/>
      <c r="I1841" s="452"/>
      <c r="J1841" s="454">
        <f t="shared" si="616"/>
        <v>0</v>
      </c>
      <c r="K1841" s="392" t="s">
        <v>1029</v>
      </c>
      <c r="L1841" s="152">
        <v>0</v>
      </c>
      <c r="M1841" s="152"/>
      <c r="N1841" s="402">
        <f t="shared" si="622"/>
        <v>0</v>
      </c>
      <c r="O1841" s="402">
        <f t="shared" si="618"/>
        <v>0</v>
      </c>
      <c r="P1841" s="403"/>
      <c r="Q1841" s="152">
        <f t="shared" si="619"/>
        <v>0</v>
      </c>
      <c r="R1841" s="152">
        <f t="shared" si="619"/>
        <v>0</v>
      </c>
      <c r="S1841" s="402">
        <f t="shared" si="620"/>
        <v>0</v>
      </c>
      <c r="T1841" s="404">
        <f t="shared" si="621"/>
        <v>0</v>
      </c>
      <c r="U1841" s="403"/>
      <c r="W1841" s="43" t="str">
        <f t="shared" si="623"/>
        <v/>
      </c>
      <c r="X1841" s="43" t="str">
        <f t="shared" si="607"/>
        <v/>
      </c>
      <c r="Y1841" s="43" t="str">
        <f t="shared" si="606"/>
        <v/>
      </c>
    </row>
    <row r="1842" spans="1:25" ht="13.5" hidden="1" thickBot="1">
      <c r="A1842" s="397" t="s">
        <v>217</v>
      </c>
      <c r="B1842" s="165" t="s">
        <v>217</v>
      </c>
      <c r="C1842" s="184"/>
      <c r="D1842" s="167"/>
      <c r="E1842" s="168"/>
      <c r="F1842" s="169"/>
      <c r="G1842" s="170"/>
      <c r="H1842" s="171"/>
      <c r="I1842" s="452"/>
      <c r="J1842" s="454">
        <f t="shared" si="616"/>
        <v>0</v>
      </c>
      <c r="K1842" s="392" t="s">
        <v>1029</v>
      </c>
      <c r="L1842" s="152">
        <v>0</v>
      </c>
      <c r="M1842" s="152"/>
      <c r="N1842" s="402">
        <f t="shared" si="622"/>
        <v>0</v>
      </c>
      <c r="O1842" s="402">
        <f t="shared" si="618"/>
        <v>0</v>
      </c>
      <c r="P1842" s="403"/>
      <c r="Q1842" s="152">
        <f t="shared" si="619"/>
        <v>0</v>
      </c>
      <c r="R1842" s="152">
        <f t="shared" si="619"/>
        <v>0</v>
      </c>
      <c r="S1842" s="402">
        <f t="shared" si="620"/>
        <v>0</v>
      </c>
      <c r="T1842" s="404">
        <f t="shared" si="621"/>
        <v>0</v>
      </c>
      <c r="U1842" s="403"/>
      <c r="W1842" s="43" t="str">
        <f t="shared" si="623"/>
        <v/>
      </c>
      <c r="X1842" s="43" t="str">
        <f t="shared" si="607"/>
        <v/>
      </c>
      <c r="Y1842" s="43" t="str">
        <f t="shared" si="606"/>
        <v/>
      </c>
    </row>
    <row r="1843" spans="1:25" ht="13.5" hidden="1" thickBot="1">
      <c r="A1843" s="397" t="s">
        <v>217</v>
      </c>
      <c r="B1843" s="165" t="s">
        <v>217</v>
      </c>
      <c r="C1843" s="184"/>
      <c r="D1843" s="167"/>
      <c r="E1843" s="168"/>
      <c r="F1843" s="169"/>
      <c r="G1843" s="170"/>
      <c r="H1843" s="171"/>
      <c r="I1843" s="452"/>
      <c r="J1843" s="454">
        <f t="shared" si="616"/>
        <v>0</v>
      </c>
      <c r="K1843" s="392" t="s">
        <v>1029</v>
      </c>
      <c r="L1843" s="152">
        <v>0</v>
      </c>
      <c r="M1843" s="152"/>
      <c r="N1843" s="402">
        <f t="shared" si="622"/>
        <v>0</v>
      </c>
      <c r="O1843" s="402">
        <f t="shared" si="618"/>
        <v>0</v>
      </c>
      <c r="P1843" s="403"/>
      <c r="Q1843" s="152">
        <f t="shared" si="619"/>
        <v>0</v>
      </c>
      <c r="R1843" s="152">
        <f t="shared" si="619"/>
        <v>0</v>
      </c>
      <c r="S1843" s="402">
        <f t="shared" si="620"/>
        <v>0</v>
      </c>
      <c r="T1843" s="404">
        <f t="shared" si="621"/>
        <v>0</v>
      </c>
      <c r="U1843" s="403"/>
      <c r="W1843" s="43" t="str">
        <f t="shared" si="623"/>
        <v/>
      </c>
      <c r="X1843" s="43" t="str">
        <f t="shared" si="607"/>
        <v/>
      </c>
      <c r="Y1843" s="43" t="str">
        <f t="shared" si="606"/>
        <v/>
      </c>
    </row>
    <row r="1844" spans="1:25" ht="13.5" hidden="1" thickBot="1">
      <c r="A1844" s="397" t="s">
        <v>217</v>
      </c>
      <c r="B1844" s="165" t="s">
        <v>217</v>
      </c>
      <c r="C1844" s="184"/>
      <c r="D1844" s="167"/>
      <c r="E1844" s="168"/>
      <c r="F1844" s="169"/>
      <c r="G1844" s="170"/>
      <c r="H1844" s="171"/>
      <c r="I1844" s="452"/>
      <c r="J1844" s="454">
        <f t="shared" si="616"/>
        <v>0</v>
      </c>
      <c r="K1844" s="392" t="s">
        <v>1029</v>
      </c>
      <c r="L1844" s="152">
        <v>0</v>
      </c>
      <c r="M1844" s="152"/>
      <c r="N1844" s="402">
        <f t="shared" si="622"/>
        <v>0</v>
      </c>
      <c r="O1844" s="402">
        <f t="shared" si="618"/>
        <v>0</v>
      </c>
      <c r="P1844" s="403"/>
      <c r="Q1844" s="152">
        <f t="shared" si="619"/>
        <v>0</v>
      </c>
      <c r="R1844" s="152">
        <f t="shared" si="619"/>
        <v>0</v>
      </c>
      <c r="S1844" s="402">
        <f t="shared" si="620"/>
        <v>0</v>
      </c>
      <c r="T1844" s="404">
        <f t="shared" si="621"/>
        <v>0</v>
      </c>
      <c r="U1844" s="403"/>
      <c r="W1844" s="43" t="str">
        <f t="shared" si="623"/>
        <v/>
      </c>
      <c r="X1844" s="43" t="str">
        <f t="shared" si="607"/>
        <v/>
      </c>
      <c r="Y1844" s="43" t="str">
        <f t="shared" ref="Y1844:Y1853" si="624">IF(V1844="X","x",IF(T1844&gt;0,"x",""))</f>
        <v/>
      </c>
    </row>
    <row r="1845" spans="1:25" ht="13.5" hidden="1" thickBot="1">
      <c r="A1845" s="397" t="s">
        <v>217</v>
      </c>
      <c r="B1845" s="165" t="s">
        <v>217</v>
      </c>
      <c r="C1845" s="184"/>
      <c r="D1845" s="167"/>
      <c r="E1845" s="168"/>
      <c r="F1845" s="169"/>
      <c r="G1845" s="170"/>
      <c r="H1845" s="171"/>
      <c r="I1845" s="452"/>
      <c r="J1845" s="454">
        <f t="shared" si="616"/>
        <v>0</v>
      </c>
      <c r="K1845" s="392" t="s">
        <v>1029</v>
      </c>
      <c r="L1845" s="152">
        <v>0</v>
      </c>
      <c r="M1845" s="152"/>
      <c r="N1845" s="402">
        <f t="shared" si="622"/>
        <v>0</v>
      </c>
      <c r="O1845" s="402">
        <f t="shared" si="618"/>
        <v>0</v>
      </c>
      <c r="P1845" s="403"/>
      <c r="Q1845" s="152">
        <f t="shared" si="619"/>
        <v>0</v>
      </c>
      <c r="R1845" s="152">
        <f t="shared" si="619"/>
        <v>0</v>
      </c>
      <c r="S1845" s="402">
        <f t="shared" si="620"/>
        <v>0</v>
      </c>
      <c r="T1845" s="404">
        <f t="shared" si="621"/>
        <v>0</v>
      </c>
      <c r="U1845" s="403"/>
      <c r="W1845" s="43" t="str">
        <f t="shared" si="623"/>
        <v/>
      </c>
      <c r="X1845" s="43" t="str">
        <f t="shared" si="607"/>
        <v/>
      </c>
      <c r="Y1845" s="43" t="str">
        <f t="shared" si="624"/>
        <v/>
      </c>
    </row>
    <row r="1846" spans="1:25" ht="13.5" hidden="1" thickBot="1">
      <c r="A1846" s="397" t="s">
        <v>217</v>
      </c>
      <c r="B1846" s="165" t="s">
        <v>217</v>
      </c>
      <c r="C1846" s="184"/>
      <c r="D1846" s="167"/>
      <c r="E1846" s="168"/>
      <c r="F1846" s="169"/>
      <c r="G1846" s="170"/>
      <c r="H1846" s="171"/>
      <c r="I1846" s="452"/>
      <c r="J1846" s="454">
        <f t="shared" si="616"/>
        <v>0</v>
      </c>
      <c r="K1846" s="392" t="s">
        <v>1029</v>
      </c>
      <c r="L1846" s="152">
        <v>0</v>
      </c>
      <c r="M1846" s="152"/>
      <c r="N1846" s="402">
        <f t="shared" si="622"/>
        <v>0</v>
      </c>
      <c r="O1846" s="402">
        <f t="shared" si="618"/>
        <v>0</v>
      </c>
      <c r="P1846" s="403"/>
      <c r="Q1846" s="152">
        <f t="shared" si="619"/>
        <v>0</v>
      </c>
      <c r="R1846" s="152">
        <f t="shared" si="619"/>
        <v>0</v>
      </c>
      <c r="S1846" s="402">
        <f t="shared" si="620"/>
        <v>0</v>
      </c>
      <c r="T1846" s="404">
        <f t="shared" si="621"/>
        <v>0</v>
      </c>
      <c r="U1846" s="403"/>
      <c r="W1846" s="43" t="str">
        <f t="shared" si="623"/>
        <v/>
      </c>
      <c r="X1846" s="43" t="str">
        <f t="shared" si="607"/>
        <v/>
      </c>
      <c r="Y1846" s="43" t="str">
        <f t="shared" si="624"/>
        <v/>
      </c>
    </row>
    <row r="1847" spans="1:25" ht="13.5" hidden="1" thickBot="1">
      <c r="A1847" s="397" t="s">
        <v>217</v>
      </c>
      <c r="B1847" s="165" t="s">
        <v>217</v>
      </c>
      <c r="C1847" s="184"/>
      <c r="D1847" s="167"/>
      <c r="E1847" s="168"/>
      <c r="F1847" s="169"/>
      <c r="G1847" s="170"/>
      <c r="H1847" s="171"/>
      <c r="I1847" s="452"/>
      <c r="J1847" s="454">
        <f t="shared" si="616"/>
        <v>0</v>
      </c>
      <c r="K1847" s="392" t="s">
        <v>1029</v>
      </c>
      <c r="L1847" s="152">
        <v>0</v>
      </c>
      <c r="M1847" s="152"/>
      <c r="N1847" s="402">
        <f t="shared" si="622"/>
        <v>0</v>
      </c>
      <c r="O1847" s="402">
        <f t="shared" si="618"/>
        <v>0</v>
      </c>
      <c r="P1847" s="403"/>
      <c r="Q1847" s="152">
        <f t="shared" si="619"/>
        <v>0</v>
      </c>
      <c r="R1847" s="152">
        <f t="shared" si="619"/>
        <v>0</v>
      </c>
      <c r="S1847" s="402">
        <f t="shared" si="620"/>
        <v>0</v>
      </c>
      <c r="T1847" s="404">
        <f t="shared" si="621"/>
        <v>0</v>
      </c>
      <c r="U1847" s="403"/>
      <c r="W1847" s="43" t="str">
        <f t="shared" si="623"/>
        <v/>
      </c>
      <c r="X1847" s="43" t="str">
        <f t="shared" si="607"/>
        <v/>
      </c>
      <c r="Y1847" s="43" t="str">
        <f t="shared" si="624"/>
        <v/>
      </c>
    </row>
    <row r="1848" spans="1:25" ht="13.5" hidden="1" thickBot="1">
      <c r="A1848" s="397" t="s">
        <v>217</v>
      </c>
      <c r="B1848" s="165" t="s">
        <v>217</v>
      </c>
      <c r="C1848" s="184"/>
      <c r="D1848" s="167"/>
      <c r="E1848" s="168"/>
      <c r="F1848" s="169"/>
      <c r="G1848" s="170"/>
      <c r="H1848" s="171"/>
      <c r="I1848" s="452"/>
      <c r="J1848" s="454">
        <f t="shared" si="616"/>
        <v>0</v>
      </c>
      <c r="K1848" s="392" t="s">
        <v>1029</v>
      </c>
      <c r="L1848" s="152">
        <v>0</v>
      </c>
      <c r="M1848" s="152"/>
      <c r="N1848" s="402">
        <f t="shared" si="622"/>
        <v>0</v>
      </c>
      <c r="O1848" s="402">
        <f t="shared" si="618"/>
        <v>0</v>
      </c>
      <c r="P1848" s="403"/>
      <c r="Q1848" s="152">
        <f t="shared" si="619"/>
        <v>0</v>
      </c>
      <c r="R1848" s="152">
        <f t="shared" si="619"/>
        <v>0</v>
      </c>
      <c r="S1848" s="402">
        <f t="shared" si="620"/>
        <v>0</v>
      </c>
      <c r="T1848" s="404">
        <f t="shared" si="621"/>
        <v>0</v>
      </c>
      <c r="U1848" s="403"/>
      <c r="W1848" s="43" t="str">
        <f t="shared" si="623"/>
        <v/>
      </c>
      <c r="X1848" s="43" t="str">
        <f t="shared" si="607"/>
        <v/>
      </c>
      <c r="Y1848" s="43" t="str">
        <f t="shared" si="624"/>
        <v/>
      </c>
    </row>
    <row r="1849" spans="1:25" ht="13.5" hidden="1" thickBot="1">
      <c r="A1849" s="397" t="s">
        <v>217</v>
      </c>
      <c r="B1849" s="165" t="s">
        <v>217</v>
      </c>
      <c r="C1849" s="184"/>
      <c r="D1849" s="167"/>
      <c r="E1849" s="168"/>
      <c r="F1849" s="169"/>
      <c r="G1849" s="170"/>
      <c r="H1849" s="171"/>
      <c r="I1849" s="452"/>
      <c r="J1849" s="454">
        <f t="shared" si="616"/>
        <v>0</v>
      </c>
      <c r="K1849" s="392" t="s">
        <v>1029</v>
      </c>
      <c r="L1849" s="152">
        <v>0</v>
      </c>
      <c r="M1849" s="152"/>
      <c r="N1849" s="402">
        <f t="shared" si="622"/>
        <v>0</v>
      </c>
      <c r="O1849" s="402">
        <f t="shared" si="618"/>
        <v>0</v>
      </c>
      <c r="P1849" s="403"/>
      <c r="Q1849" s="152">
        <f t="shared" si="619"/>
        <v>0</v>
      </c>
      <c r="R1849" s="152">
        <f t="shared" si="619"/>
        <v>0</v>
      </c>
      <c r="S1849" s="402">
        <f t="shared" si="620"/>
        <v>0</v>
      </c>
      <c r="T1849" s="404">
        <f t="shared" si="621"/>
        <v>0</v>
      </c>
      <c r="U1849" s="403"/>
      <c r="W1849" s="43" t="str">
        <f t="shared" si="623"/>
        <v/>
      </c>
      <c r="X1849" s="43" t="str">
        <f t="shared" si="607"/>
        <v/>
      </c>
      <c r="Y1849" s="43" t="str">
        <f t="shared" si="624"/>
        <v/>
      </c>
    </row>
    <row r="1850" spans="1:25" ht="13.5" hidden="1" thickBot="1">
      <c r="A1850" s="397" t="s">
        <v>217</v>
      </c>
      <c r="B1850" s="165" t="s">
        <v>217</v>
      </c>
      <c r="C1850" s="184"/>
      <c r="D1850" s="167"/>
      <c r="E1850" s="168"/>
      <c r="F1850" s="169"/>
      <c r="G1850" s="170"/>
      <c r="H1850" s="171"/>
      <c r="I1850" s="452"/>
      <c r="J1850" s="454">
        <f t="shared" si="616"/>
        <v>0</v>
      </c>
      <c r="K1850" s="392" t="s">
        <v>1029</v>
      </c>
      <c r="L1850" s="152">
        <v>0</v>
      </c>
      <c r="M1850" s="152"/>
      <c r="N1850" s="402">
        <f t="shared" si="622"/>
        <v>0</v>
      </c>
      <c r="O1850" s="402">
        <f t="shared" si="618"/>
        <v>0</v>
      </c>
      <c r="P1850" s="403"/>
      <c r="Q1850" s="152">
        <f t="shared" si="619"/>
        <v>0</v>
      </c>
      <c r="R1850" s="152">
        <f t="shared" si="619"/>
        <v>0</v>
      </c>
      <c r="S1850" s="402">
        <f t="shared" si="620"/>
        <v>0</v>
      </c>
      <c r="T1850" s="404">
        <f t="shared" si="621"/>
        <v>0</v>
      </c>
      <c r="U1850" s="403"/>
      <c r="W1850" s="43" t="str">
        <f t="shared" si="623"/>
        <v/>
      </c>
      <c r="X1850" s="43" t="str">
        <f t="shared" si="607"/>
        <v/>
      </c>
      <c r="Y1850" s="43" t="str">
        <f t="shared" si="624"/>
        <v/>
      </c>
    </row>
    <row r="1851" spans="1:25" ht="13.5" hidden="1" thickBot="1">
      <c r="A1851" s="397" t="s">
        <v>217</v>
      </c>
      <c r="B1851" s="165" t="s">
        <v>217</v>
      </c>
      <c r="C1851" s="184"/>
      <c r="D1851" s="167"/>
      <c r="E1851" s="168"/>
      <c r="F1851" s="169"/>
      <c r="G1851" s="170"/>
      <c r="H1851" s="171"/>
      <c r="I1851" s="452"/>
      <c r="J1851" s="454">
        <f t="shared" si="616"/>
        <v>0</v>
      </c>
      <c r="K1851" s="392" t="s">
        <v>1029</v>
      </c>
      <c r="L1851" s="152">
        <v>0</v>
      </c>
      <c r="M1851" s="152"/>
      <c r="N1851" s="402">
        <f t="shared" si="622"/>
        <v>0</v>
      </c>
      <c r="O1851" s="402">
        <f t="shared" si="618"/>
        <v>0</v>
      </c>
      <c r="P1851" s="403"/>
      <c r="Q1851" s="152">
        <f t="shared" si="619"/>
        <v>0</v>
      </c>
      <c r="R1851" s="152">
        <f t="shared" si="619"/>
        <v>0</v>
      </c>
      <c r="S1851" s="402">
        <f t="shared" si="620"/>
        <v>0</v>
      </c>
      <c r="T1851" s="404">
        <f t="shared" si="621"/>
        <v>0</v>
      </c>
      <c r="U1851" s="403"/>
      <c r="W1851" s="43" t="str">
        <f t="shared" si="623"/>
        <v/>
      </c>
      <c r="X1851" s="43" t="str">
        <f t="shared" si="607"/>
        <v/>
      </c>
      <c r="Y1851" s="43" t="str">
        <f t="shared" si="624"/>
        <v/>
      </c>
    </row>
    <row r="1852" spans="1:25" ht="13.5" hidden="1" thickBot="1">
      <c r="A1852" s="397" t="s">
        <v>217</v>
      </c>
      <c r="B1852" s="165" t="s">
        <v>217</v>
      </c>
      <c r="C1852" s="184"/>
      <c r="D1852" s="167"/>
      <c r="E1852" s="168"/>
      <c r="F1852" s="169"/>
      <c r="G1852" s="170"/>
      <c r="H1852" s="171"/>
      <c r="I1852" s="452"/>
      <c r="J1852" s="454">
        <f t="shared" si="616"/>
        <v>0</v>
      </c>
      <c r="K1852" s="392" t="s">
        <v>1029</v>
      </c>
      <c r="L1852" s="152">
        <v>0</v>
      </c>
      <c r="M1852" s="152"/>
      <c r="N1852" s="402">
        <f t="shared" si="622"/>
        <v>0</v>
      </c>
      <c r="O1852" s="402">
        <f t="shared" si="618"/>
        <v>0</v>
      </c>
      <c r="P1852" s="403"/>
      <c r="Q1852" s="152">
        <f t="shared" si="619"/>
        <v>0</v>
      </c>
      <c r="R1852" s="152">
        <f t="shared" si="619"/>
        <v>0</v>
      </c>
      <c r="S1852" s="402">
        <f t="shared" si="620"/>
        <v>0</v>
      </c>
      <c r="T1852" s="404">
        <f t="shared" si="621"/>
        <v>0</v>
      </c>
      <c r="U1852" s="403"/>
      <c r="W1852" s="43" t="str">
        <f t="shared" si="623"/>
        <v/>
      </c>
      <c r="X1852" s="43" t="str">
        <f t="shared" si="607"/>
        <v/>
      </c>
      <c r="Y1852" s="44" t="str">
        <f t="shared" si="624"/>
        <v/>
      </c>
    </row>
    <row r="1853" spans="1:25" ht="13.5" hidden="1" thickBot="1">
      <c r="A1853" s="397" t="s">
        <v>217</v>
      </c>
      <c r="B1853" s="165" t="s">
        <v>217</v>
      </c>
      <c r="C1853" s="184"/>
      <c r="D1853" s="167"/>
      <c r="E1853" s="168"/>
      <c r="F1853" s="169"/>
      <c r="G1853" s="170"/>
      <c r="H1853" s="171"/>
      <c r="I1853" s="452"/>
      <c r="J1853" s="454">
        <f t="shared" si="616"/>
        <v>0</v>
      </c>
      <c r="K1853" s="392" t="s">
        <v>1029</v>
      </c>
      <c r="L1853" s="152"/>
      <c r="M1853" s="152"/>
      <c r="N1853" s="402">
        <f t="shared" si="622"/>
        <v>0</v>
      </c>
      <c r="O1853" s="402">
        <f t="shared" si="618"/>
        <v>0</v>
      </c>
      <c r="P1853" s="403"/>
      <c r="Q1853" s="152">
        <f t="shared" si="619"/>
        <v>0</v>
      </c>
      <c r="R1853" s="152">
        <f t="shared" si="619"/>
        <v>0</v>
      </c>
      <c r="S1853" s="402">
        <f t="shared" si="620"/>
        <v>0</v>
      </c>
      <c r="T1853" s="404">
        <f t="shared" si="621"/>
        <v>0</v>
      </c>
      <c r="U1853" s="403"/>
      <c r="W1853" s="43" t="str">
        <f t="shared" si="623"/>
        <v/>
      </c>
      <c r="X1853" s="43" t="str">
        <f t="shared" si="607"/>
        <v/>
      </c>
      <c r="Y1853" s="44" t="str">
        <f t="shared" si="624"/>
        <v/>
      </c>
    </row>
    <row r="1854" spans="1:25" ht="1.1499999999999999" hidden="1" customHeight="1" thickBot="1">
      <c r="A1854" s="263" t="s">
        <v>200</v>
      </c>
      <c r="B1854" s="264"/>
      <c r="C1854" s="246"/>
      <c r="D1854" s="247"/>
      <c r="E1854" s="248"/>
      <c r="F1854" s="249"/>
      <c r="G1854" s="250"/>
      <c r="H1854" s="251"/>
      <c r="I1854" s="251"/>
      <c r="J1854" s="252"/>
      <c r="K1854" s="253"/>
      <c r="L1854" s="244"/>
      <c r="M1854" s="245"/>
      <c r="N1854" s="265"/>
      <c r="O1854" s="265"/>
      <c r="P1854" s="265"/>
      <c r="Q1854" s="244"/>
      <c r="R1854" s="245"/>
      <c r="S1854" s="265"/>
      <c r="T1854" s="266"/>
      <c r="U1854" s="154"/>
      <c r="V1854" s="186"/>
      <c r="W1854" s="187"/>
      <c r="X1854" s="187"/>
      <c r="Y1854" s="187"/>
    </row>
    <row r="1855" spans="1:25" ht="5.45" hidden="1" customHeight="1" thickBot="1">
      <c r="A1855" s="269" t="s">
        <v>200</v>
      </c>
      <c r="B1855" s="270"/>
      <c r="C1855" s="271"/>
      <c r="D1855" s="267"/>
      <c r="E1855" s="258"/>
      <c r="F1855" s="259"/>
      <c r="G1855" s="258"/>
      <c r="H1855" s="258"/>
      <c r="I1855" s="258"/>
      <c r="J1855" s="260"/>
      <c r="K1855" s="258"/>
      <c r="L1855" s="261"/>
      <c r="M1855" s="261"/>
      <c r="N1855" s="262"/>
      <c r="O1855" s="262"/>
      <c r="P1855" s="262"/>
      <c r="Q1855" s="261"/>
      <c r="R1855" s="261"/>
      <c r="S1855" s="262"/>
      <c r="T1855" s="262"/>
      <c r="U1855" s="257"/>
      <c r="V1855" s="186" t="s">
        <v>200</v>
      </c>
      <c r="W1855" s="187"/>
      <c r="X1855" s="187"/>
      <c r="Y1855" s="187"/>
    </row>
    <row r="1856" spans="1:25" ht="13.15" customHeight="1" thickBot="1">
      <c r="A1856" s="272" t="s">
        <v>200</v>
      </c>
      <c r="B1856" s="273"/>
      <c r="C1856" s="373" t="s">
        <v>661</v>
      </c>
      <c r="D1856" s="274"/>
      <c r="E1856" s="190"/>
      <c r="F1856" s="255"/>
      <c r="G1856" s="190"/>
      <c r="H1856" s="190"/>
      <c r="I1856" s="190" t="str">
        <f t="shared" ref="I1856:I1858" si="625">IF(ISBLANK(H1856),"",SUM(G1856:H1856))</f>
        <v/>
      </c>
      <c r="J1856" s="190"/>
      <c r="K1856" s="190"/>
      <c r="L1856" s="256"/>
      <c r="M1856" s="198"/>
      <c r="N1856" s="243">
        <f>SUBTOTAL(9,N18:N1854)</f>
        <v>832307.19999999984</v>
      </c>
      <c r="O1856" s="189">
        <f>SUBTOTAL(9,O18:O1854)</f>
        <v>816552.54</v>
      </c>
      <c r="P1856" s="275">
        <f>SUBTOTAL(9,P18:P1854)</f>
        <v>816552.54</v>
      </c>
      <c r="Q1856" s="191"/>
      <c r="R1856" s="276"/>
      <c r="S1856" s="243">
        <f>SUBTOTAL(9,S18:S1854)</f>
        <v>832307.19999999984</v>
      </c>
      <c r="T1856" s="189">
        <f>SUBTOTAL(9,T18:T1854)</f>
        <v>816552.54</v>
      </c>
      <c r="U1856" s="189">
        <f>SUBTOTAL(9,U18:U1854)</f>
        <v>816552.54</v>
      </c>
      <c r="V1856" s="186" t="s">
        <v>200</v>
      </c>
      <c r="W1856" s="217" t="s">
        <v>200</v>
      </c>
      <c r="X1856" s="217"/>
      <c r="Y1856" s="217" t="s">
        <v>200</v>
      </c>
    </row>
    <row r="1857" spans="1:25" ht="5.45" hidden="1" customHeight="1" thickBot="1">
      <c r="A1857" s="272" t="s">
        <v>200</v>
      </c>
      <c r="B1857" s="273"/>
      <c r="C1857" s="374"/>
      <c r="D1857" s="267"/>
      <c r="E1857" s="258"/>
      <c r="F1857" s="259"/>
      <c r="G1857" s="258"/>
      <c r="H1857" s="258"/>
      <c r="I1857" s="258"/>
      <c r="J1857" s="260"/>
      <c r="K1857" s="258"/>
      <c r="L1857" s="261"/>
      <c r="M1857" s="261"/>
      <c r="N1857" s="262"/>
      <c r="O1857" s="262"/>
      <c r="P1857" s="262"/>
      <c r="Q1857" s="261"/>
      <c r="R1857" s="261"/>
      <c r="S1857" s="262"/>
      <c r="T1857" s="262"/>
      <c r="U1857" s="257"/>
      <c r="V1857" s="186" t="s">
        <v>200</v>
      </c>
      <c r="W1857" s="45"/>
      <c r="X1857" s="43"/>
      <c r="Y1857" s="43"/>
    </row>
    <row r="1858" spans="1:25" ht="13.15" customHeight="1" thickBot="1">
      <c r="A1858" s="272" t="s">
        <v>200</v>
      </c>
      <c r="B1858" s="273"/>
      <c r="C1858" s="373" t="s">
        <v>993</v>
      </c>
      <c r="D1858" s="254"/>
      <c r="E1858" s="190"/>
      <c r="F1858" s="255"/>
      <c r="G1858" s="190"/>
      <c r="H1858" s="190"/>
      <c r="I1858" s="190" t="str">
        <f t="shared" si="625"/>
        <v/>
      </c>
      <c r="J1858" s="190"/>
      <c r="K1858" s="190"/>
      <c r="L1858" s="256"/>
      <c r="M1858" s="198"/>
      <c r="N1858" s="268">
        <f>SUM(N18:N434)</f>
        <v>564288</v>
      </c>
      <c r="O1858" s="268">
        <f>SUM(O18:O434)</f>
        <v>551235.36</v>
      </c>
      <c r="P1858" s="268">
        <f>SUM(P18:P434)</f>
        <v>551235.36</v>
      </c>
      <c r="Q1858" s="191"/>
      <c r="R1858" s="367"/>
      <c r="S1858" s="189">
        <f>SUM(S18:S434)</f>
        <v>564288</v>
      </c>
      <c r="T1858" s="268">
        <f>SUM(T18:T434)</f>
        <v>551235.36</v>
      </c>
      <c r="U1858" s="268">
        <f>SUM(U18:U434)</f>
        <v>551235.36</v>
      </c>
      <c r="V1858" s="186" t="s">
        <v>200</v>
      </c>
      <c r="W1858" s="43" t="s">
        <v>200</v>
      </c>
      <c r="X1858" s="43"/>
      <c r="Y1858" s="43"/>
    </row>
    <row r="1859" spans="1:25" ht="13.15" customHeight="1" thickBot="1">
      <c r="A1859" s="272" t="s">
        <v>200</v>
      </c>
      <c r="B1859" s="273"/>
      <c r="C1859" s="373" t="s">
        <v>997</v>
      </c>
      <c r="D1859" s="254"/>
      <c r="E1859" s="190"/>
      <c r="F1859" s="255"/>
      <c r="G1859" s="190"/>
      <c r="H1859" s="190"/>
      <c r="I1859" s="190" t="str">
        <f t="shared" ref="I1859:I1863" si="626">IF(ISBLANK(H1859),"",SUM(G1859:H1859))</f>
        <v/>
      </c>
      <c r="J1859" s="190"/>
      <c r="K1859" s="190"/>
      <c r="L1859" s="256"/>
      <c r="M1859" s="198"/>
      <c r="N1859" s="243">
        <f>SUM(N435:N648)</f>
        <v>70286.460000000006</v>
      </c>
      <c r="O1859" s="243">
        <f>SUM(O435:O648)</f>
        <v>69244.420000000013</v>
      </c>
      <c r="P1859" s="243">
        <f>SUM(P435:P648)</f>
        <v>69244.420000000013</v>
      </c>
      <c r="Q1859" s="191"/>
      <c r="R1859" s="368"/>
      <c r="S1859" s="189">
        <f>SUM(S435:S648)</f>
        <v>70286.460000000006</v>
      </c>
      <c r="T1859" s="243">
        <f>SUM(T435:T648)</f>
        <v>69244.420000000013</v>
      </c>
      <c r="U1859" s="243">
        <f>SUM(U435:U648)</f>
        <v>69244.420000000013</v>
      </c>
      <c r="V1859" s="186" t="s">
        <v>200</v>
      </c>
      <c r="W1859" s="43" t="s">
        <v>200</v>
      </c>
      <c r="X1859" s="43"/>
      <c r="Y1859" s="43"/>
    </row>
    <row r="1860" spans="1:25" ht="13.15" customHeight="1" thickBot="1">
      <c r="A1860" s="272" t="s">
        <v>200</v>
      </c>
      <c r="B1860" s="273"/>
      <c r="C1860" s="373" t="s">
        <v>994</v>
      </c>
      <c r="D1860" s="254"/>
      <c r="E1860" s="190"/>
      <c r="F1860" s="255"/>
      <c r="G1860" s="190"/>
      <c r="H1860" s="190"/>
      <c r="I1860" s="190" t="str">
        <f t="shared" si="626"/>
        <v/>
      </c>
      <c r="J1860" s="190"/>
      <c r="K1860" s="190"/>
      <c r="L1860" s="256"/>
      <c r="M1860" s="198"/>
      <c r="N1860" s="243">
        <f>SUM(N649:N888)</f>
        <v>0</v>
      </c>
      <c r="O1860" s="243">
        <f>SUM(O649:O888)</f>
        <v>0</v>
      </c>
      <c r="P1860" s="243">
        <f>SUM(P649:P888)</f>
        <v>0</v>
      </c>
      <c r="Q1860" s="191"/>
      <c r="R1860" s="368"/>
      <c r="S1860" s="189">
        <f>SUM(S649:S888)</f>
        <v>0</v>
      </c>
      <c r="T1860" s="243">
        <f>SUM(T649:T888)</f>
        <v>0</v>
      </c>
      <c r="U1860" s="243">
        <f>SUM(U649:U888)</f>
        <v>0</v>
      </c>
      <c r="V1860" s="186" t="s">
        <v>200</v>
      </c>
      <c r="W1860" s="43" t="s">
        <v>200</v>
      </c>
      <c r="X1860" s="43"/>
      <c r="Y1860" s="43"/>
    </row>
    <row r="1861" spans="1:25" ht="13.15" customHeight="1" thickBot="1">
      <c r="A1861" s="272" t="s">
        <v>200</v>
      </c>
      <c r="B1861" s="273"/>
      <c r="C1861" s="373" t="s">
        <v>995</v>
      </c>
      <c r="D1861" s="254"/>
      <c r="E1861" s="190"/>
      <c r="F1861" s="255"/>
      <c r="G1861" s="190"/>
      <c r="H1861" s="190"/>
      <c r="I1861" s="190" t="str">
        <f t="shared" si="626"/>
        <v/>
      </c>
      <c r="J1861" s="190"/>
      <c r="K1861" s="190"/>
      <c r="L1861" s="256"/>
      <c r="M1861" s="198"/>
      <c r="N1861" s="243">
        <f>SUM(N889:N981)</f>
        <v>0</v>
      </c>
      <c r="O1861" s="243">
        <f>SUM(O889:O981)</f>
        <v>0</v>
      </c>
      <c r="P1861" s="243">
        <f>SUM(P889:P981)</f>
        <v>0</v>
      </c>
      <c r="Q1861" s="191"/>
      <c r="R1861" s="368"/>
      <c r="S1861" s="189">
        <f>SUM(S889:S981)</f>
        <v>0</v>
      </c>
      <c r="T1861" s="243">
        <f>SUM(T889:T981)</f>
        <v>0</v>
      </c>
      <c r="U1861" s="243">
        <f>SUM(U889:U981)</f>
        <v>0</v>
      </c>
      <c r="V1861" s="186" t="s">
        <v>200</v>
      </c>
      <c r="W1861" s="43" t="s">
        <v>200</v>
      </c>
      <c r="X1861" s="43"/>
      <c r="Y1861" s="43"/>
    </row>
    <row r="1862" spans="1:25" ht="13.15" customHeight="1" thickBot="1">
      <c r="A1862" s="272" t="s">
        <v>200</v>
      </c>
      <c r="B1862" s="273"/>
      <c r="C1862" s="373" t="s">
        <v>996</v>
      </c>
      <c r="D1862" s="254"/>
      <c r="E1862" s="190"/>
      <c r="F1862" s="255"/>
      <c r="G1862" s="190"/>
      <c r="H1862" s="190"/>
      <c r="I1862" s="190" t="str">
        <f t="shared" si="626"/>
        <v/>
      </c>
      <c r="J1862" s="190"/>
      <c r="K1862" s="190"/>
      <c r="L1862" s="256"/>
      <c r="M1862" s="198"/>
      <c r="N1862" s="243">
        <f>SUM(N982:N1808)</f>
        <v>226206.10000000003</v>
      </c>
      <c r="O1862" s="243">
        <f>SUM(O982:O1808)</f>
        <v>189790.69999999998</v>
      </c>
      <c r="P1862" s="243">
        <f>SUM(P982:P1808)</f>
        <v>189790.69999999998</v>
      </c>
      <c r="Q1862" s="275"/>
      <c r="R1862" s="369"/>
      <c r="S1862" s="243">
        <f>SUM(S982:S1808)</f>
        <v>226206.10000000003</v>
      </c>
      <c r="T1862" s="243">
        <f>SUM(T982:T1808)</f>
        <v>189790.69999999998</v>
      </c>
      <c r="U1862" s="243">
        <f>SUM(U982:U1808)</f>
        <v>189790.69999999998</v>
      </c>
      <c r="V1862" s="186" t="s">
        <v>200</v>
      </c>
      <c r="W1862" s="43" t="s">
        <v>200</v>
      </c>
      <c r="X1862" s="43"/>
      <c r="Y1862" s="43"/>
    </row>
    <row r="1863" spans="1:25" ht="13.15" customHeight="1" thickBot="1">
      <c r="A1863" s="272" t="s">
        <v>200</v>
      </c>
      <c r="B1863" s="273"/>
      <c r="C1863" s="373" t="s">
        <v>1025</v>
      </c>
      <c r="D1863" s="254"/>
      <c r="E1863" s="190"/>
      <c r="F1863" s="255"/>
      <c r="G1863" s="190"/>
      <c r="H1863" s="190"/>
      <c r="I1863" s="190" t="str">
        <f t="shared" si="626"/>
        <v/>
      </c>
      <c r="J1863" s="190"/>
      <c r="K1863" s="190"/>
      <c r="L1863" s="256"/>
      <c r="M1863" s="198"/>
      <c r="N1863" s="243">
        <f>SUM(N1809:N1853)</f>
        <v>6282.0599999999995</v>
      </c>
      <c r="O1863" s="243">
        <f>SUM(O1809:O1853)</f>
        <v>6282.0599999999995</v>
      </c>
      <c r="P1863" s="243">
        <f>SUM(P1809:P1853)</f>
        <v>6282.0599999999995</v>
      </c>
      <c r="Q1863" s="275"/>
      <c r="R1863" s="369"/>
      <c r="S1863" s="189">
        <f>SUM(S1809:S1853)</f>
        <v>6282.0599999999995</v>
      </c>
      <c r="T1863" s="243">
        <f>SUM(T1809:T1853)</f>
        <v>6282.0599999999995</v>
      </c>
      <c r="U1863" s="243">
        <f>SUM(U1809:U1853)</f>
        <v>6282.0599999999995</v>
      </c>
      <c r="V1863" s="186" t="s">
        <v>200</v>
      </c>
      <c r="W1863" s="43" t="s">
        <v>200</v>
      </c>
      <c r="X1863" s="43"/>
      <c r="Y1863" s="43"/>
    </row>
    <row r="1864" spans="1:25" ht="13.5" thickBot="1">
      <c r="A1864" s="188" t="s">
        <v>200</v>
      </c>
      <c r="D1864" s="193"/>
      <c r="E1864" s="194"/>
      <c r="G1864" s="195"/>
      <c r="L1864" s="610" t="s">
        <v>560</v>
      </c>
      <c r="M1864" s="611"/>
      <c r="N1864" s="196"/>
      <c r="O1864" s="197" t="s">
        <v>18</v>
      </c>
      <c r="P1864" s="202">
        <f>IF(N1864=0,0,P1856/N1864)</f>
        <v>0</v>
      </c>
      <c r="Q1864" s="612" t="s">
        <v>561</v>
      </c>
      <c r="R1864" s="613"/>
      <c r="S1864" s="196"/>
      <c r="T1864" s="198" t="s">
        <v>18</v>
      </c>
      <c r="U1864" s="201">
        <f>IF(S1864=0,0,U1856/S1864)</f>
        <v>0</v>
      </c>
      <c r="V1864" s="186" t="s">
        <v>200</v>
      </c>
      <c r="W1864" s="43" t="s">
        <v>200</v>
      </c>
      <c r="X1864" s="43"/>
      <c r="Y1864" s="43"/>
    </row>
    <row r="1865" spans="1:25">
      <c r="A1865" s="188" t="s">
        <v>200</v>
      </c>
      <c r="K1865" s="199"/>
      <c r="L1865" s="199"/>
      <c r="M1865" s="199"/>
      <c r="N1865" s="199"/>
      <c r="O1865" s="199"/>
      <c r="P1865" s="199"/>
      <c r="Q1865" s="199"/>
      <c r="R1865" s="199"/>
      <c r="S1865" s="199"/>
      <c r="T1865" s="199"/>
      <c r="U1865" s="199"/>
      <c r="V1865" s="200" t="s">
        <v>200</v>
      </c>
      <c r="W1865" s="43" t="s">
        <v>200</v>
      </c>
      <c r="X1865" s="43"/>
      <c r="Y1865" s="43"/>
    </row>
    <row r="1866" spans="1:25" ht="13.5" thickBot="1">
      <c r="A1866" s="188" t="s">
        <v>200</v>
      </c>
      <c r="K1866" s="199"/>
      <c r="L1866" s="199"/>
      <c r="M1866" s="199"/>
      <c r="N1866" s="199"/>
      <c r="O1866" s="199"/>
      <c r="P1866" s="199"/>
      <c r="Q1866" s="199"/>
      <c r="R1866" s="199"/>
      <c r="S1866" s="199"/>
      <c r="T1866" s="199"/>
      <c r="U1866" s="199"/>
      <c r="V1866" s="200" t="s">
        <v>200</v>
      </c>
      <c r="W1866" s="43" t="s">
        <v>200</v>
      </c>
      <c r="X1866" s="43"/>
      <c r="Y1866" s="43"/>
    </row>
    <row r="1867" spans="1:25" ht="13.5" thickBot="1">
      <c r="A1867" s="188" t="s">
        <v>200</v>
      </c>
      <c r="K1867" s="199"/>
      <c r="L1867" s="612" t="s">
        <v>562</v>
      </c>
      <c r="M1867" s="614"/>
      <c r="N1867" s="189">
        <f>SUM(N18:N1853)</f>
        <v>867062.61999999988</v>
      </c>
      <c r="O1867" s="189">
        <f>SUM(O18:O1853)</f>
        <v>816552.54</v>
      </c>
      <c r="P1867" s="189">
        <f>SUM(P18:P1853)</f>
        <v>816552.54</v>
      </c>
      <c r="Q1867" s="612"/>
      <c r="R1867" s="614"/>
      <c r="S1867" s="189">
        <f>SUM(S18:S1853)</f>
        <v>867062.61999999988</v>
      </c>
      <c r="T1867" s="189">
        <f>SUM(T18:T1853)</f>
        <v>816552.54</v>
      </c>
      <c r="U1867" s="597">
        <f>SUM(U18:U1853)</f>
        <v>816552.54</v>
      </c>
      <c r="V1867" s="200" t="s">
        <v>200</v>
      </c>
      <c r="W1867" s="43" t="s">
        <v>200</v>
      </c>
    </row>
    <row r="1868" spans="1:25" hidden="1">
      <c r="V1868" s="160" t="s">
        <v>200</v>
      </c>
    </row>
    <row r="1869" spans="1:25">
      <c r="T1869" s="472"/>
    </row>
    <row r="1870" spans="1:25">
      <c r="P1870" s="472"/>
    </row>
    <row r="1871" spans="1:25">
      <c r="T1871" s="598" t="s">
        <v>1149</v>
      </c>
    </row>
    <row r="1873" spans="17:26">
      <c r="Q1873" s="472"/>
    </row>
    <row r="1875" spans="17:26">
      <c r="T1875" s="472"/>
    </row>
    <row r="1883" spans="17:26">
      <c r="U1883" s="119">
        <v>784365.37</v>
      </c>
    </row>
    <row r="1884" spans="17:26">
      <c r="Z1884" s="472">
        <f>U1867-U1883</f>
        <v>32187.170000000042</v>
      </c>
    </row>
  </sheetData>
  <autoFilter ref="A17:Y1868">
    <filterColumn colId="22">
      <customFilters>
        <customFilter operator="notEqual" val=" "/>
      </customFilters>
    </filterColumn>
  </autoFilter>
  <mergeCells count="5">
    <mergeCell ref="D16:D17"/>
    <mergeCell ref="L1864:M1864"/>
    <mergeCell ref="Q1864:R1864"/>
    <mergeCell ref="L1867:M1867"/>
    <mergeCell ref="Q1867:R186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5" orientation="landscape" r:id="rId1"/>
  <headerFooter alignWithMargins="0"/>
  <rowBreaks count="1" manualBreakCount="1">
    <brk id="76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7</vt:i4>
      </vt:variant>
    </vt:vector>
  </HeadingPairs>
  <TitlesOfParts>
    <vt:vector size="12" baseType="lpstr">
      <vt:lpstr>ENSAIOS DE ORÇAMENTO</vt:lpstr>
      <vt:lpstr>BDI</vt:lpstr>
      <vt:lpstr>grandes ítens</vt:lpstr>
      <vt:lpstr>Cronograma</vt:lpstr>
      <vt:lpstr> orc DER SETEMBRO 2017</vt:lpstr>
      <vt:lpstr>' orc DER SETEMBRO 2017'!Area_de_impressao</vt:lpstr>
      <vt:lpstr>BDI!Area_de_impressao</vt:lpstr>
      <vt:lpstr>Cronograma!Area_de_impressao</vt:lpstr>
      <vt:lpstr>'grandes ítens'!Area_de_impressao</vt:lpstr>
      <vt:lpstr>' orc DER SETEMBRO 2017'!j</vt:lpstr>
      <vt:lpstr>' orc DER SETEMBRO 2017'!Titulos_de_impressao</vt:lpstr>
      <vt:lpstr>'grandes ítens'!Titulos_de_impressao</vt:lpstr>
    </vt:vector>
  </TitlesOfParts>
  <Company>PARANACIDADE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PARANACIDADE: Genezi Guedes dos Santos</dc:creator>
  <cp:lastModifiedBy>usuario</cp:lastModifiedBy>
  <cp:lastPrinted>2017-11-22T17:25:44Z</cp:lastPrinted>
  <dcterms:created xsi:type="dcterms:W3CDTF">2008-09-16T14:08:54Z</dcterms:created>
  <dcterms:modified xsi:type="dcterms:W3CDTF">2017-11-29T11:32:19Z</dcterms:modified>
</cp:coreProperties>
</file>